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分類表" sheetId="2" r:id="rId1"/>
    <sheet name="明細表" sheetId="1" r:id="rId2"/>
  </sheets>
  <calcPr calcId="144525"/>
</workbook>
</file>

<file path=xl/sharedStrings.xml><?xml version="1.0" encoding="utf-8"?>
<sst xmlns="http://schemas.openxmlformats.org/spreadsheetml/2006/main" count="224" uniqueCount="42">
  <si>
    <t>選擇年月</t>
  </si>
  <si>
    <t>年</t>
  </si>
  <si>
    <t>月</t>
  </si>
  <si>
    <t>日期</t>
  </si>
  <si>
    <t>收入金額</t>
  </si>
  <si>
    <t>支出金額</t>
  </si>
  <si>
    <t>支付寶</t>
  </si>
  <si>
    <t>1月份</t>
  </si>
  <si>
    <t>微信</t>
  </si>
  <si>
    <t>2月份</t>
  </si>
  <si>
    <t>現金</t>
  </si>
  <si>
    <t>3月份</t>
  </si>
  <si>
    <t>中國銀行</t>
  </si>
  <si>
    <t>4月份</t>
  </si>
  <si>
    <t>建設銀行</t>
  </si>
  <si>
    <t>5月份</t>
  </si>
  <si>
    <t>其他</t>
  </si>
  <si>
    <t>6月份</t>
  </si>
  <si>
    <t>7月份</t>
  </si>
  <si>
    <t>8月份</t>
  </si>
  <si>
    <t>合計</t>
  </si>
  <si>
    <t>9月份</t>
  </si>
  <si>
    <t>10月份</t>
  </si>
  <si>
    <t>11月份</t>
  </si>
  <si>
    <t>12月份</t>
  </si>
  <si>
    <t>收入支出明細表</t>
  </si>
  <si>
    <t>摘要</t>
  </si>
  <si>
    <t>金額</t>
  </si>
  <si>
    <t>經辦人</t>
  </si>
  <si>
    <t>賬戶</t>
  </si>
  <si>
    <t>備註</t>
  </si>
  <si>
    <t>月份</t>
  </si>
  <si>
    <t>收入</t>
  </si>
  <si>
    <t>支出</t>
  </si>
  <si>
    <t>xxxxxxxx</t>
  </si>
  <si>
    <t>1</t>
  </si>
  <si>
    <t>xxxxx</t>
  </si>
  <si>
    <t>2</t>
  </si>
  <si>
    <t>3</t>
  </si>
  <si>
    <t>4</t>
  </si>
  <si>
    <t>5</t>
  </si>
  <si>
    <t>賬戶名稱</t>
  </si>
</sst>
</file>

<file path=xl/styles.xml><?xml version="1.0" encoding="utf-8"?>
<styleSheet xmlns="http://schemas.openxmlformats.org/spreadsheetml/2006/main">
  <numFmts count="39">
    <numFmt numFmtId="6" formatCode="&quot;￥&quot;#,##0;[Red]&quot;￥&quot;\-#,##0"/>
    <numFmt numFmtId="176" formatCode="#\ ??/??"/>
    <numFmt numFmtId="177" formatCode="mmmm\-yy"/>
    <numFmt numFmtId="5" formatCode="&quot;￥&quot;#,##0;&quot;￥&quot;\-#,##0"/>
    <numFmt numFmtId="24" formatCode="\$#,##0_);[Red]\(\$#,##0\)"/>
    <numFmt numFmtId="7" formatCode="&quot;￥&quot;#,##0.00;&quot;￥&quot;\-#,##0.00"/>
    <numFmt numFmtId="178" formatCode="#\ ?/?"/>
    <numFmt numFmtId="179" formatCode="dd\-mmm\-yy"/>
    <numFmt numFmtId="25" formatCode="\$#,##0.00_);\(\$#,##0.00\)"/>
    <numFmt numFmtId="26" formatCode="\$#,##0.00_);[Red]\(\$#,##0.00\)"/>
    <numFmt numFmtId="180" formatCode="yyyy/m/d;@"/>
    <numFmt numFmtId="181" formatCode="h:mm:ss\ AM/PM"/>
    <numFmt numFmtId="23" formatCode="\$#,##0_);\(\$#,##0\)"/>
    <numFmt numFmtId="8" formatCode="&quot;￥&quot;#,##0.00;[Red]&quot;￥&quot;\-#,##0.00"/>
    <numFmt numFmtId="182" formatCode="[DBNum1][$-804]yyyy&quot;年&quot;m&quot;月&quot;"/>
    <numFmt numFmtId="183" formatCode="#\ ??"/>
    <numFmt numFmtId="184" formatCode="m/d"/>
    <numFmt numFmtId="185" formatCode="&quot;￥&quot;#,##0.00_);[Red]\(&quot;￥&quot;#,##0.00\)"/>
    <numFmt numFmtId="186" formatCode="mmmmm\-yy"/>
    <numFmt numFmtId="187" formatCode="yy/m/d"/>
    <numFmt numFmtId="188" formatCode="[$-804]aaa"/>
    <numFmt numFmtId="189" formatCode="mmmmm"/>
    <numFmt numFmtId="190" formatCode="[DBNum1][$-804]yyyy&quot;年&quot;m&quot;月&quot;d&quot;日&quot;"/>
    <numFmt numFmtId="191" formatCode="m/d;@"/>
    <numFmt numFmtId="192" formatCode="[DBNum1]h&quot;时&quot;mm&quot;分&quot;"/>
    <numFmt numFmtId="193" formatCode="yyyy/m/d\ h:mm\ AM/PM"/>
    <numFmt numFmtId="194" formatCode="[DBNum1]上午/下午h&quot;时&quot;mm&quot;分&quot;"/>
    <numFmt numFmtId="195" formatCode="[$-804]aaaa"/>
    <numFmt numFmtId="196" formatCode="\¥#,##0;[Red]\¥\-#,##0"/>
    <numFmt numFmtId="197" formatCode="mm/dd/yy"/>
    <numFmt numFmtId="198" formatCode="\¥#,##0;\¥\-#,##0"/>
    <numFmt numFmtId="43" formatCode="_ * #,##0.00_ ;_ * \-#,##0.00_ ;_ * &quot;-&quot;??_ ;_ @_ "/>
    <numFmt numFmtId="199" formatCode="[DBNum1][$-804]m&quot;月&quot;d&quot;日&quot;"/>
    <numFmt numFmtId="44" formatCode="_ &quot;￥&quot;* #,##0.00_ ;_ &quot;￥&quot;* \-#,##0.00_ ;_ &quot;￥&quot;* &quot;-&quot;??_ ;_ @_ "/>
    <numFmt numFmtId="200" formatCode="h:mm\ AM/PM"/>
    <numFmt numFmtId="42" formatCode="_ &quot;￥&quot;* #,##0_ ;_ &quot;￥&quot;* \-#,##0_ ;_ &quot;￥&quot;* &quot;-&quot;_ ;_ @_ "/>
    <numFmt numFmtId="201" formatCode="\¥#,##0.00;\¥\-#,##0.00"/>
    <numFmt numFmtId="202" formatCode="\¥#,##0.00;[Red]\¥\-#,##0.00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7030A0"/>
      <name val="黑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b/>
      <sz val="26"/>
      <name val="黑体"/>
      <charset val="134"/>
    </font>
    <font>
      <b/>
      <sz val="12"/>
      <name val="黑体"/>
      <charset val="134"/>
    </font>
    <font>
      <sz val="12"/>
      <color theme="0"/>
      <name val="黑体"/>
      <charset val="134"/>
    </font>
    <font>
      <sz val="11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Arial Black"/>
      <charset val="134"/>
    </font>
    <font>
      <sz val="11"/>
      <color theme="0"/>
      <name val="黑体"/>
      <charset val="134"/>
    </font>
    <font>
      <b/>
      <sz val="11"/>
      <color theme="1"/>
      <name val="黑体"/>
      <charset val="134"/>
    </font>
    <font>
      <sz val="11"/>
      <color rgb="FFEBF2FA"/>
      <name val="黑体"/>
      <charset val="134"/>
    </font>
    <font>
      <sz val="10"/>
      <color rgb="FFE1EEFA"/>
      <name val="Arial Black"/>
      <charset val="134"/>
    </font>
    <font>
      <sz val="11"/>
      <color rgb="FFE1EEFA"/>
      <name val="黑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8A3DA"/>
        <bgColor indexed="64"/>
      </patternFill>
    </fill>
    <fill>
      <patternFill patternType="solid">
        <fgColor rgb="FFFF999A"/>
        <bgColor indexed="64"/>
      </patternFill>
    </fill>
    <fill>
      <patternFill patternType="solid">
        <fgColor rgb="FFE1EEFA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"/>
      </left>
      <right style="thin">
        <color theme="0" tint="-0.149937437055574"/>
      </right>
      <top/>
      <bottom style="thin">
        <color theme="0" tint="-0.149937437055574"/>
      </bottom>
      <diagonal/>
    </border>
    <border>
      <left style="thin">
        <color theme="0" tint="-0.149937437055574"/>
      </left>
      <right style="thin">
        <color theme="0" tint="-0.149937437055574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0"/>
      </left>
      <right style="thin">
        <color theme="0"/>
      </right>
      <top style="thin">
        <color theme="0" tint="-0.149937437055574"/>
      </top>
      <bottom style="thin">
        <color theme="0" tint="-0.149937437055574"/>
      </bottom>
      <diagonal/>
    </border>
    <border>
      <left/>
      <right style="thin">
        <color theme="0" tint="-0.149937437055574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37437055574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0" tint="-0.149937437055574"/>
      </left>
      <right style="thin">
        <color theme="0"/>
      </right>
      <top style="thin">
        <color theme="0" tint="-0.14993743705557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37437055574"/>
      </top>
      <bottom style="thin">
        <color theme="0"/>
      </bottom>
      <diagonal/>
    </border>
    <border>
      <left style="thin">
        <color theme="0"/>
      </left>
      <right style="thin">
        <color theme="0" tint="-0.149937437055574"/>
      </right>
      <top style="thin">
        <color theme="0" tint="-0.149937437055574"/>
      </top>
      <bottom style="thin">
        <color theme="0"/>
      </bottom>
      <diagonal/>
    </border>
    <border>
      <left/>
      <right/>
      <top/>
      <bottom style="thin">
        <color theme="0" tint="-0.149937437055574"/>
      </bottom>
      <diagonal/>
    </border>
    <border>
      <left style="thin">
        <color theme="0"/>
      </left>
      <right style="thin">
        <color rgb="FFE1EEFA"/>
      </right>
      <top style="thin">
        <color theme="0"/>
      </top>
      <bottom/>
      <diagonal/>
    </border>
    <border>
      <left style="thin">
        <color rgb="FFE1EEFA"/>
      </left>
      <right style="thin">
        <color rgb="FFE1EEFA"/>
      </right>
      <top style="thin">
        <color theme="0"/>
      </top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E1EEFA"/>
      </left>
      <right style="thin">
        <color theme="0"/>
      </right>
      <top style="thin">
        <color theme="0"/>
      </top>
      <bottom/>
      <diagonal/>
    </border>
    <border>
      <left style="thin">
        <color theme="0" tint="-0.0499893185216834"/>
      </left>
      <right/>
      <top style="thin">
        <color theme="0" tint="-0.0499893185216834"/>
      </top>
      <bottom style="thin">
        <color theme="0" tint="-0.0499893185216834"/>
      </bottom>
      <diagonal/>
    </border>
    <border>
      <left/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5" fillId="36" borderId="23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1" fillId="22" borderId="23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6" borderId="22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30" borderId="25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4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center" vertical="center"/>
    </xf>
    <xf numFmtId="180" fontId="4" fillId="0" borderId="0" xfId="0" applyNumberFormat="1" applyFont="1" applyFill="1" applyBorder="1" applyAlignment="1">
      <alignment horizontal="center" vertical="center"/>
    </xf>
    <xf numFmtId="4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80" fontId="5" fillId="2" borderId="0" xfId="0" applyNumberFormat="1" applyFont="1" applyFill="1" applyBorder="1" applyAlignment="1">
      <alignment horizontal="center" vertical="center"/>
    </xf>
    <xf numFmtId="180" fontId="6" fillId="2" borderId="0" xfId="0" applyNumberFormat="1" applyFont="1" applyFill="1" applyBorder="1" applyAlignment="1">
      <alignment horizontal="center" vertical="center"/>
    </xf>
    <xf numFmtId="18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80" fontId="3" fillId="0" borderId="2" xfId="0" applyNumberFormat="1" applyFont="1" applyFill="1" applyBorder="1" applyAlignment="1">
      <alignment horizontal="center" vertical="center"/>
    </xf>
    <xf numFmtId="43" fontId="3" fillId="0" borderId="2" xfId="0" applyNumberFormat="1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43" fontId="3" fillId="0" borderId="3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3" fontId="2" fillId="0" borderId="2" xfId="0" applyNumberFormat="1" applyFont="1" applyFill="1" applyBorder="1" applyAlignment="1">
      <alignment horizontal="center" vertical="center"/>
    </xf>
    <xf numFmtId="180" fontId="3" fillId="0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3" fontId="2" fillId="0" borderId="3" xfId="0" applyNumberFormat="1" applyFont="1" applyFill="1" applyBorder="1" applyAlignment="1">
      <alignment horizontal="center" vertical="center"/>
    </xf>
    <xf numFmtId="185" fontId="3" fillId="0" borderId="6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0" fontId="7" fillId="3" borderId="8" xfId="0" applyNumberFormat="1" applyFont="1" applyFill="1" applyBorder="1" applyAlignment="1">
      <alignment horizontal="center" vertical="center"/>
    </xf>
    <xf numFmtId="180" fontId="7" fillId="3" borderId="9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80" fontId="7" fillId="3" borderId="10" xfId="0" applyNumberFormat="1" applyFont="1" applyFill="1" applyBorder="1" applyAlignment="1">
      <alignment horizontal="center" vertical="center"/>
    </xf>
    <xf numFmtId="180" fontId="8" fillId="0" borderId="0" xfId="0" applyNumberFormat="1" applyFont="1">
      <alignment vertical="center"/>
    </xf>
    <xf numFmtId="0" fontId="0" fillId="5" borderId="0" xfId="0" applyFill="1">
      <alignment vertical="center"/>
    </xf>
    <xf numFmtId="0" fontId="0" fillId="3" borderId="0" xfId="0" applyFill="1">
      <alignment vertical="center"/>
    </xf>
    <xf numFmtId="0" fontId="9" fillId="5" borderId="0" xfId="0" applyFont="1" applyFill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180" fontId="8" fillId="5" borderId="0" xfId="0" applyNumberFormat="1" applyFont="1" applyFill="1">
      <alignment vertical="center"/>
    </xf>
    <xf numFmtId="191" fontId="8" fillId="2" borderId="14" xfId="0" applyNumberFormat="1" applyFont="1" applyFill="1" applyBorder="1" applyAlignment="1">
      <alignment horizontal="center" vertical="center"/>
    </xf>
    <xf numFmtId="43" fontId="8" fillId="2" borderId="14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3" fillId="5" borderId="0" xfId="0" applyNumberFormat="1" applyFont="1" applyFill="1" applyBorder="1" applyAlignment="1">
      <alignment horizontal="center" vertical="center"/>
    </xf>
    <xf numFmtId="180" fontId="13" fillId="5" borderId="0" xfId="0" applyNumberFormat="1" applyFont="1" applyFill="1" applyBorder="1" applyAlignment="1">
      <alignment horizontal="center" vertical="center"/>
    </xf>
    <xf numFmtId="180" fontId="13" fillId="5" borderId="0" xfId="0" applyNumberFormat="1" applyFont="1" applyFill="1" applyBorder="1">
      <alignment vertical="center"/>
    </xf>
    <xf numFmtId="43" fontId="8" fillId="2" borderId="16" xfId="0" applyNumberFormat="1" applyFont="1" applyFill="1" applyBorder="1" applyAlignment="1">
      <alignment horizontal="center" vertical="center"/>
    </xf>
    <xf numFmtId="43" fontId="8" fillId="2" borderId="17" xfId="0" applyNumberFormat="1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>
      <alignment vertical="center"/>
    </xf>
    <xf numFmtId="180" fontId="8" fillId="5" borderId="0" xfId="0" applyNumberFormat="1" applyFont="1" applyFill="1" applyAlignment="1">
      <alignment vertical="center" wrapText="1"/>
    </xf>
    <xf numFmtId="180" fontId="13" fillId="5" borderId="0" xfId="0" applyNumberFormat="1" applyFont="1" applyFill="1">
      <alignment vertical="center"/>
    </xf>
    <xf numFmtId="44" fontId="13" fillId="5" borderId="0" xfId="0" applyNumberFormat="1" applyFont="1" applyFill="1" applyBorder="1" applyAlignment="1">
      <alignment horizontal="center" vertical="center"/>
    </xf>
    <xf numFmtId="180" fontId="15" fillId="5" borderId="0" xfId="0" applyNumberFormat="1" applyFont="1" applyFill="1">
      <alignment vertical="center"/>
    </xf>
    <xf numFmtId="180" fontId="11" fillId="0" borderId="0" xfId="0" applyNumberFormat="1" applyFont="1" applyFill="1">
      <alignment vertical="center"/>
    </xf>
    <xf numFmtId="0" fontId="13" fillId="5" borderId="0" xfId="0" applyNumberFormat="1" applyFont="1" applyFill="1" applyAlignment="1">
      <alignment horizontal="center" vertical="center"/>
    </xf>
    <xf numFmtId="180" fontId="13" fillId="5" borderId="0" xfId="0" applyNumberFormat="1" applyFont="1" applyFill="1" applyAlignment="1">
      <alignment horizontal="center" vertical="center"/>
    </xf>
    <xf numFmtId="44" fontId="13" fillId="5" borderId="0" xfId="0" applyNumberFormat="1" applyFont="1" applyFill="1" applyAlignment="1">
      <alignment horizontal="center" vertical="center"/>
    </xf>
    <xf numFmtId="180" fontId="15" fillId="5" borderId="0" xfId="0" applyNumberFormat="1" applyFont="1" applyFill="1" applyAlignment="1">
      <alignment horizontal="center" vertical="center"/>
    </xf>
    <xf numFmtId="44" fontId="15" fillId="5" borderId="0" xfId="0" applyNumberFormat="1" applyFont="1" applyFill="1" applyAlignment="1">
      <alignment horizontal="center" vertical="center"/>
    </xf>
    <xf numFmtId="180" fontId="11" fillId="0" borderId="0" xfId="0" applyNumberFormat="1" applyFont="1" applyFill="1" applyAlignment="1">
      <alignment horizontal="center" vertical="center"/>
    </xf>
    <xf numFmtId="44" fontId="11" fillId="0" borderId="0" xfId="0" applyNumberFormat="1" applyFont="1" applyFill="1" applyAlignment="1">
      <alignment horizontal="center" vertical="center"/>
    </xf>
    <xf numFmtId="0" fontId="16" fillId="0" borderId="0" xfId="0" applyFont="1" applyFill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8C7A9"/>
      <color rgb="00FFF2C7"/>
      <color rgb="00FFC9CB"/>
      <color rgb="00FFE7E9"/>
      <color rgb="00FF676A"/>
      <color rgb="006CA4D9"/>
      <color rgb="00FF999A"/>
      <color rgb="00CEE1F3"/>
      <color rgb="00EBF2FA"/>
      <color rgb="00E1EE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4" Type="http://schemas.microsoft.com/office/2011/relationships/chartColorStyle" Target="colors1.xml"/><Relationship Id="rId3" Type="http://schemas.microsoft.com/office/2011/relationships/chartStyle" Target="style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4" Type="http://schemas.microsoft.com/office/2011/relationships/chartColorStyle" Target="colors5.xml"/><Relationship Id="rId3" Type="http://schemas.microsoft.com/office/2011/relationships/chartStyle" Target="style5.xml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6.xml.rels><?xml version="1.0" encoding="UTF-8" standalone="yes"?>
<Relationships xmlns="http://schemas.openxmlformats.org/package/2006/relationships"><Relationship Id="rId4" Type="http://schemas.microsoft.com/office/2011/relationships/chartColorStyle" Target="colors6.xml"/><Relationship Id="rId3" Type="http://schemas.microsoft.com/office/2011/relationships/chartStyle" Target="style6.xml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9762174405436"/>
          <c:y val="0.0179321938918465"/>
          <c:w val="0.914665911664779"/>
          <c:h val="0.720201737181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明細表!$P$4</c:f>
              <c:strCache>
                <c:ptCount val="1"/>
                <c:pt idx="0">
                  <c:v>收入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明細表!$O$5:$O$16</c:f>
              <c:strCache>
                <c:ptCount val="12"/>
                <c:pt idx="0" c:formatCode="_ * #,##0.00_ ;_ * \-#,##0.00_ ;_ * &quot;-&quot;??_ ;_ @_ ">
                  <c:v>1月份</c:v>
                </c:pt>
                <c:pt idx="1" c:formatCode="_ * #,##0.00_ ;_ * \-#,##0.00_ ;_ * &quot;-&quot;??_ ;_ @_ ">
                  <c:v>2月份</c:v>
                </c:pt>
                <c:pt idx="2" c:formatCode="_ * #,##0.00_ ;_ * \-#,##0.00_ ;_ * &quot;-&quot;??_ ;_ @_ ">
                  <c:v>3月份</c:v>
                </c:pt>
                <c:pt idx="3" c:formatCode="_ * #,##0.00_ ;_ * \-#,##0.00_ ;_ * &quot;-&quot;??_ ;_ @_ ">
                  <c:v>4月份</c:v>
                </c:pt>
                <c:pt idx="4" c:formatCode="_ * #,##0.00_ ;_ * \-#,##0.00_ ;_ * &quot;-&quot;??_ ;_ @_ ">
                  <c:v>5月份</c:v>
                </c:pt>
                <c:pt idx="5" c:formatCode="_ * #,##0.00_ ;_ * \-#,##0.00_ ;_ * &quot;-&quot;??_ ;_ @_ ">
                  <c:v>6月份</c:v>
                </c:pt>
                <c:pt idx="6" c:formatCode="_ * #,##0.00_ ;_ * \-#,##0.00_ ;_ * &quot;-&quot;??_ ;_ @_ ">
                  <c:v>7月份</c:v>
                </c:pt>
                <c:pt idx="7" c:formatCode="_ * #,##0.00_ ;_ * \-#,##0.00_ ;_ * &quot;-&quot;??_ ;_ @_ ">
                  <c:v>8月份</c:v>
                </c:pt>
                <c:pt idx="8" c:formatCode="_ * #,##0.00_ ;_ * \-#,##0.00_ ;_ * &quot;-&quot;??_ ;_ @_ ">
                  <c:v>9月份</c:v>
                </c:pt>
                <c:pt idx="9" c:formatCode="_ * #,##0.00_ ;_ * \-#,##0.00_ ;_ * &quot;-&quot;??_ ;_ @_ ">
                  <c:v>10月份</c:v>
                </c:pt>
                <c:pt idx="10" c:formatCode="_ * #,##0.00_ ;_ * \-#,##0.00_ ;_ * &quot;-&quot;??_ ;_ @_ ">
                  <c:v>11月份</c:v>
                </c:pt>
                <c:pt idx="11" c:formatCode="_ * #,##0.00_ ;_ * \-#,##0.00_ ;_ * &quot;-&quot;??_ ;_ @_ ">
                  <c:v>12月份</c:v>
                </c:pt>
              </c:strCache>
            </c:strRef>
          </c:cat>
          <c:val>
            <c:numRef>
              <c:f>明細表!$P$5:$P$16</c:f>
              <c:numCache>
                <c:formatCode>_ * #,##0.00_ ;_ * \-#,##0.00_ ;_ * "-"??_ ;_ @_ </c:formatCode>
                <c:ptCount val="12"/>
                <c:pt idx="0">
                  <c:v>200</c:v>
                </c:pt>
                <c:pt idx="1">
                  <c:v>800</c:v>
                </c:pt>
                <c:pt idx="2">
                  <c:v>1600</c:v>
                </c:pt>
                <c:pt idx="3">
                  <c:v>300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</c:v>
                </c:pt>
                <c:pt idx="10">
                  <c:v>600</c:v>
                </c:pt>
                <c:pt idx="11">
                  <c:v>400</c:v>
                </c:pt>
              </c:numCache>
            </c:numRef>
          </c:val>
        </c:ser>
        <c:ser>
          <c:idx val="1"/>
          <c:order val="1"/>
          <c:tx>
            <c:strRef>
              <c:f>明細表!$Q$4</c:f>
              <c:strCache>
                <c:ptCount val="1"/>
                <c:pt idx="0">
                  <c:v>支出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明細表!$O$5:$O$16</c:f>
              <c:strCache>
                <c:ptCount val="12"/>
                <c:pt idx="0" c:formatCode="_ * #,##0.00_ ;_ * \-#,##0.00_ ;_ * &quot;-&quot;??_ ;_ @_ ">
                  <c:v>1月份</c:v>
                </c:pt>
                <c:pt idx="1" c:formatCode="_ * #,##0.00_ ;_ * \-#,##0.00_ ;_ * &quot;-&quot;??_ ;_ @_ ">
                  <c:v>2月份</c:v>
                </c:pt>
                <c:pt idx="2" c:formatCode="_ * #,##0.00_ ;_ * \-#,##0.00_ ;_ * &quot;-&quot;??_ ;_ @_ ">
                  <c:v>3月份</c:v>
                </c:pt>
                <c:pt idx="3" c:formatCode="_ * #,##0.00_ ;_ * \-#,##0.00_ ;_ * &quot;-&quot;??_ ;_ @_ ">
                  <c:v>4月份</c:v>
                </c:pt>
                <c:pt idx="4" c:formatCode="_ * #,##0.00_ ;_ * \-#,##0.00_ ;_ * &quot;-&quot;??_ ;_ @_ ">
                  <c:v>5月份</c:v>
                </c:pt>
                <c:pt idx="5" c:formatCode="_ * #,##0.00_ ;_ * \-#,##0.00_ ;_ * &quot;-&quot;??_ ;_ @_ ">
                  <c:v>6月份</c:v>
                </c:pt>
                <c:pt idx="6" c:formatCode="_ * #,##0.00_ ;_ * \-#,##0.00_ ;_ * &quot;-&quot;??_ ;_ @_ ">
                  <c:v>7月份</c:v>
                </c:pt>
                <c:pt idx="7" c:formatCode="_ * #,##0.00_ ;_ * \-#,##0.00_ ;_ * &quot;-&quot;??_ ;_ @_ ">
                  <c:v>8月份</c:v>
                </c:pt>
                <c:pt idx="8" c:formatCode="_ * #,##0.00_ ;_ * \-#,##0.00_ ;_ * &quot;-&quot;??_ ;_ @_ ">
                  <c:v>9月份</c:v>
                </c:pt>
                <c:pt idx="9" c:formatCode="_ * #,##0.00_ ;_ * \-#,##0.00_ ;_ * &quot;-&quot;??_ ;_ @_ ">
                  <c:v>10月份</c:v>
                </c:pt>
                <c:pt idx="10" c:formatCode="_ * #,##0.00_ ;_ * \-#,##0.00_ ;_ * &quot;-&quot;??_ ;_ @_ ">
                  <c:v>11月份</c:v>
                </c:pt>
                <c:pt idx="11" c:formatCode="_ * #,##0.00_ ;_ * \-#,##0.00_ ;_ * &quot;-&quot;??_ ;_ @_ ">
                  <c:v>12月份</c:v>
                </c:pt>
              </c:strCache>
            </c:strRef>
          </c:cat>
          <c:val>
            <c:numRef>
              <c:f>明細表!$Q$5:$Q$16</c:f>
              <c:numCache>
                <c:formatCode>_ * #,##0.00_ ;_ * \-#,##0.00_ ;_ * "-"??_ ;_ @_ </c:formatCode>
                <c:ptCount val="12"/>
                <c:pt idx="0">
                  <c:v>600</c:v>
                </c:pt>
                <c:pt idx="1">
                  <c:v>600</c:v>
                </c:pt>
                <c:pt idx="2">
                  <c:v>500</c:v>
                </c:pt>
                <c:pt idx="3">
                  <c:v>500</c:v>
                </c:pt>
                <c:pt idx="4">
                  <c:v>100</c:v>
                </c:pt>
                <c:pt idx="5">
                  <c:v>500</c:v>
                </c:pt>
                <c:pt idx="6">
                  <c:v>400</c:v>
                </c:pt>
                <c:pt idx="7">
                  <c:v>300</c:v>
                </c:pt>
                <c:pt idx="8">
                  <c:v>300</c:v>
                </c:pt>
                <c:pt idx="9">
                  <c:v>100</c:v>
                </c:pt>
                <c:pt idx="10">
                  <c:v>300</c:v>
                </c:pt>
                <c:pt idx="11">
                  <c:v>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2"/>
        <c:axId val="223010174"/>
        <c:axId val="55011529"/>
      </c:barChart>
      <c:catAx>
        <c:axId val="22301017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55011529"/>
        <c:crosses val="autoZero"/>
        <c:auto val="1"/>
        <c:lblAlgn val="ctr"/>
        <c:lblOffset val="100"/>
        <c:noMultiLvlLbl val="0"/>
      </c:catAx>
      <c:valAx>
        <c:axId val="5501152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22301017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黑體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黑體" panose="02010609060101010101" charset="-122"/>
          <a:ea typeface="黑體" panose="02010609060101010101" charset="-122"/>
          <a:cs typeface="黑體" panose="02010609060101010101" charset="-122"/>
          <a:sym typeface="黑體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明細表!$P$19</c:f>
              <c:strCache>
                <c:ptCount val="1"/>
                <c:pt idx="0">
                  <c:v>收入金額</c:v>
                </c:pt>
              </c:strCache>
            </c:strRef>
          </c:tx>
          <c:spPr>
            <a:ln w="28575" cap="rnd">
              <a:solidFill>
                <a:srgbClr val="68A3DA"/>
              </a:solidFill>
              <a:round/>
            </a:ln>
            <a:effectLst/>
          </c:spPr>
          <c:marker>
            <c:symbol val="triangle"/>
            <c:size val="11"/>
            <c:spPr>
              <a:solidFill>
                <a:srgbClr val="68A3DA"/>
              </a:solidFill>
              <a:ln w="9525">
                <a:solidFill>
                  <a:srgbClr val="68A3DA"/>
                </a:solidFill>
              </a:ln>
              <a:effectLst/>
            </c:spPr>
          </c:marker>
          <c:dLbls>
            <c:delete val="1"/>
          </c:dLbls>
          <c:cat>
            <c:strRef>
              <c:f>明細表!$O$20:$O$25</c:f>
              <c:strCache>
                <c:ptCount val="6"/>
                <c:pt idx="0">
                  <c:v>支付寶</c:v>
                </c:pt>
                <c:pt idx="1">
                  <c:v>微信</c:v>
                </c:pt>
                <c:pt idx="2">
                  <c:v>現金</c:v>
                </c:pt>
                <c:pt idx="3">
                  <c:v>中國銀行</c:v>
                </c:pt>
                <c:pt idx="4">
                  <c:v>建設銀行</c:v>
                </c:pt>
                <c:pt idx="5">
                  <c:v>其他</c:v>
                </c:pt>
              </c:strCache>
            </c:strRef>
          </c:cat>
          <c:val>
            <c:numRef>
              <c:f>明細表!$P$20:$P$25</c:f>
              <c:numCache>
                <c:formatCode>_ * #,##0.00_ ;_ * \-#,##0.00_ ;_ * "-"??_ ;_ @_ </c:formatCode>
                <c:ptCount val="6"/>
                <c:pt idx="0">
                  <c:v>1700</c:v>
                </c:pt>
                <c:pt idx="1">
                  <c:v>800</c:v>
                </c:pt>
                <c:pt idx="2">
                  <c:v>2300</c:v>
                </c:pt>
                <c:pt idx="3">
                  <c:v>1900</c:v>
                </c:pt>
                <c:pt idx="4">
                  <c:v>1500</c:v>
                </c:pt>
                <c:pt idx="5">
                  <c:v>1100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明細表!$Q$19</c:f>
              <c:strCache>
                <c:ptCount val="1"/>
                <c:pt idx="0">
                  <c:v>支出金額</c:v>
                </c:pt>
              </c:strCache>
            </c:strRef>
          </c:tx>
          <c:spPr>
            <a:ln w="28575" cap="rnd">
              <a:solidFill>
                <a:srgbClr val="FF999A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999A"/>
              </a:solidFill>
              <a:ln w="44450">
                <a:solidFill>
                  <a:srgbClr val="FF999A"/>
                </a:solidFill>
              </a:ln>
              <a:effectLst/>
            </c:spPr>
          </c:marker>
          <c:dLbls>
            <c:delete val="1"/>
          </c:dLbls>
          <c:cat>
            <c:strRef>
              <c:f>明細表!$O$20:$O$25</c:f>
              <c:strCache>
                <c:ptCount val="6"/>
                <c:pt idx="0">
                  <c:v>支付寶</c:v>
                </c:pt>
                <c:pt idx="1">
                  <c:v>微信</c:v>
                </c:pt>
                <c:pt idx="2">
                  <c:v>現金</c:v>
                </c:pt>
                <c:pt idx="3">
                  <c:v>中國銀行</c:v>
                </c:pt>
                <c:pt idx="4">
                  <c:v>建設銀行</c:v>
                </c:pt>
                <c:pt idx="5">
                  <c:v>其他</c:v>
                </c:pt>
              </c:strCache>
            </c:strRef>
          </c:cat>
          <c:val>
            <c:numRef>
              <c:f>明細表!$Q$20:$Q$25</c:f>
              <c:numCache>
                <c:formatCode>_ * #,##0.00_ ;_ * \-#,##0.00_ ;_ * "-"??_ ;_ @_ </c:formatCode>
                <c:ptCount val="6"/>
                <c:pt idx="0">
                  <c:v>1000</c:v>
                </c:pt>
                <c:pt idx="1">
                  <c:v>1100</c:v>
                </c:pt>
                <c:pt idx="2">
                  <c:v>700</c:v>
                </c:pt>
                <c:pt idx="3">
                  <c:v>1500</c:v>
                </c:pt>
                <c:pt idx="4">
                  <c:v>700</c:v>
                </c:pt>
                <c:pt idx="5">
                  <c:v>500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332085037"/>
        <c:axId val="387330021"/>
      </c:lineChart>
      <c:catAx>
        <c:axId val="33208503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387330021"/>
        <c:crosses val="autoZero"/>
        <c:auto val="1"/>
        <c:lblAlgn val="ctr"/>
        <c:lblOffset val="100"/>
        <c:noMultiLvlLbl val="0"/>
      </c:catAx>
      <c:valAx>
        <c:axId val="387330021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33208503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黑體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黑體" panose="02010609060101010101" charset="-122"/>
          <a:ea typeface="黑體" panose="02010609060101010101" charset="-122"/>
          <a:cs typeface="黑體" panose="02010609060101010101" charset="-122"/>
          <a:sym typeface="黑體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1582262534644"/>
          <c:y val="0.013227513227513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黑體" panose="0201060906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37843285462333"/>
          <c:y val="0.155202821869489"/>
          <c:w val="0.54320987654321"/>
          <c:h val="0.633744855967078"/>
        </c:manualLayout>
      </c:layout>
      <c:pieChart>
        <c:varyColors val="1"/>
        <c:ser>
          <c:idx val="0"/>
          <c:order val="0"/>
          <c:tx>
            <c:strRef>
              <c:f>明細表!$Q$19</c:f>
              <c:strCache>
                <c:ptCount val="1"/>
                <c:pt idx="0">
                  <c:v>支出金額</c:v>
                </c:pt>
              </c:strCache>
            </c:strRef>
          </c:tx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F676A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F999A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F8C7A9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FFF2C7"/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rgbClr val="FFC9CB"/>
              </a:solidFill>
              <a:ln w="19050">
                <a:noFill/>
              </a:ln>
              <a:effectLst/>
            </c:spPr>
          </c:dPt>
          <c:dPt>
            <c:idx val="5"/>
            <c:bubble3D val="0"/>
            <c:spPr>
              <a:solidFill>
                <a:srgbClr val="FFE7E9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明細表!$O$20:$O$25</c:f>
              <c:strCache>
                <c:ptCount val="6"/>
                <c:pt idx="0">
                  <c:v>支付寶</c:v>
                </c:pt>
                <c:pt idx="1">
                  <c:v>微信</c:v>
                </c:pt>
                <c:pt idx="2">
                  <c:v>現金</c:v>
                </c:pt>
                <c:pt idx="3">
                  <c:v>中國銀行</c:v>
                </c:pt>
                <c:pt idx="4">
                  <c:v>建設銀行</c:v>
                </c:pt>
                <c:pt idx="5">
                  <c:v>其他</c:v>
                </c:pt>
              </c:strCache>
            </c:strRef>
          </c:cat>
          <c:val>
            <c:numRef>
              <c:f>明細表!$Q$20:$Q$25</c:f>
              <c:numCache>
                <c:formatCode>_ * #,##0.00_ ;_ * \-#,##0.00_ ;_ * "-"??_ ;_ @_ </c:formatCode>
                <c:ptCount val="6"/>
                <c:pt idx="0">
                  <c:v>1000</c:v>
                </c:pt>
                <c:pt idx="1">
                  <c:v>1100</c:v>
                </c:pt>
                <c:pt idx="2">
                  <c:v>700</c:v>
                </c:pt>
                <c:pt idx="3">
                  <c:v>1500</c:v>
                </c:pt>
                <c:pt idx="4">
                  <c:v>700</c:v>
                </c:pt>
                <c:pt idx="5">
                  <c:v>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ayout>
        <c:manualLayout>
          <c:xMode val="edge"/>
          <c:yMode val="edge"/>
          <c:x val="0.0604686318972033"/>
          <c:y val="0.790123456790123"/>
          <c:w val="0.895691609977324"/>
          <c:h val="0.18959435626102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黑體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800">
          <a:latin typeface="黑體" panose="02010609060101010101" charset="-122"/>
          <a:ea typeface="黑體" panose="02010609060101010101" charset="-122"/>
          <a:cs typeface="黑體" panose="02010609060101010101" charset="-122"/>
          <a:sym typeface="黑體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黑體" panose="0201060906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15110441767068"/>
          <c:y val="0.134441528142316"/>
          <c:w val="0.524347389558233"/>
          <c:h val="0.609215514727326"/>
        </c:manualLayout>
      </c:layout>
      <c:pieChart>
        <c:varyColors val="1"/>
        <c:ser>
          <c:idx val="0"/>
          <c:order val="0"/>
          <c:tx>
            <c:strRef>
              <c:f>明細表!$P$19</c:f>
              <c:strCache>
                <c:ptCount val="1"/>
                <c:pt idx="0">
                  <c:v>收入金額</c:v>
                </c:pt>
              </c:strCache>
            </c:strRef>
          </c:tx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9BC1E5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6CA4D9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DFEBF7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CEE1F3"/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rgbClr val="C6D9F1"/>
              </a:solidFill>
              <a:ln w="19050">
                <a:noFill/>
              </a:ln>
              <a:effectLst/>
            </c:spPr>
          </c:dPt>
          <c:dPt>
            <c:idx val="5"/>
            <c:bubble3D val="0"/>
            <c:spPr>
              <a:solidFill>
                <a:srgbClr val="EBF2FA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明細表!$O$20:$O$25</c:f>
              <c:strCache>
                <c:ptCount val="6"/>
                <c:pt idx="0">
                  <c:v>支付寶</c:v>
                </c:pt>
                <c:pt idx="1">
                  <c:v>微信</c:v>
                </c:pt>
                <c:pt idx="2">
                  <c:v>現金</c:v>
                </c:pt>
                <c:pt idx="3">
                  <c:v>中國銀行</c:v>
                </c:pt>
                <c:pt idx="4">
                  <c:v>建設銀行</c:v>
                </c:pt>
                <c:pt idx="5">
                  <c:v>其他</c:v>
                </c:pt>
              </c:strCache>
            </c:strRef>
          </c:cat>
          <c:val>
            <c:numRef>
              <c:f>明細表!$P$20:$P$25</c:f>
              <c:numCache>
                <c:formatCode>_ * #,##0.00_ ;_ * \-#,##0.00_ ;_ * "-"??_ ;_ @_ </c:formatCode>
                <c:ptCount val="6"/>
                <c:pt idx="0">
                  <c:v>1700</c:v>
                </c:pt>
                <c:pt idx="1">
                  <c:v>800</c:v>
                </c:pt>
                <c:pt idx="2">
                  <c:v>2300</c:v>
                </c:pt>
                <c:pt idx="3">
                  <c:v>1900</c:v>
                </c:pt>
                <c:pt idx="4">
                  <c:v>1500</c:v>
                </c:pt>
                <c:pt idx="5">
                  <c:v>1100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</c:legendEntry>
      <c:layout>
        <c:manualLayout>
          <c:xMode val="edge"/>
          <c:yMode val="edge"/>
          <c:x val="0.0268574297188755"/>
          <c:y val="0.775444736074657"/>
          <c:w val="0.881024096385542"/>
          <c:h val="0.18955963837853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黑體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800">
          <a:latin typeface="黑體" panose="02010609060101010101" charset="-122"/>
          <a:ea typeface="黑體" panose="02010609060101010101" charset="-122"/>
          <a:cs typeface="黑體" panose="02010609060101010101" charset="-122"/>
          <a:sym typeface="黑體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41880341880342"/>
          <c:y val="0.0164203612479475"/>
          <c:w val="0.931623931623932"/>
          <c:h val="0.825418719211823"/>
        </c:manualLayout>
      </c:layout>
      <c:barChart>
        <c:barDir val="col"/>
        <c:grouping val="clustered"/>
        <c:varyColors val="0"/>
        <c:ser>
          <c:idx val="0"/>
          <c:order val="0"/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分類表!$H$31:$H$36</c:f>
              <c:strCache>
                <c:ptCount val="4"/>
                <c:pt idx="0" c:formatCode="yyyy/m/d;@">
                  <c:v>支付寶</c:v>
                </c:pt>
                <c:pt idx="1" c:formatCode="yyyy/m/d;@">
                  <c:v>微信</c:v>
                </c:pt>
                <c:pt idx="2" c:formatCode="yyyy/m/d;@">
                  <c:v>現金</c:v>
                </c:pt>
                <c:pt idx="3" c:formatCode="yyyy/m/d;@">
                  <c:v>中國銀行</c:v>
                </c:pt>
              </c:strCache>
            </c:strRef>
          </c:cat>
          <c:val>
            <c:numRef>
              <c:f>分類表!$I$31:$I$36</c:f>
              <c:numCache>
                <c:formatCode>_ "￥"* #,##0.00_ ;_ "￥"* \-#,##0.00_ ;_ "￥"* "-"??_ ;_ @_ </c:formatCode>
                <c:ptCount val="4"/>
                <c:pt idx="0">
                  <c:v>800</c:v>
                </c:pt>
                <c:pt idx="1">
                  <c:v>400</c:v>
                </c:pt>
                <c:pt idx="2">
                  <c:v>1000</c:v>
                </c:pt>
                <c:pt idx="3">
                  <c:v>600</c:v>
                </c:pt>
              </c:numCache>
            </c:numRef>
          </c:val>
        </c:ser>
        <c:ser>
          <c:idx val="1"/>
          <c:order val="1"/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分類表!$H$31:$H$36</c:f>
              <c:strCache>
                <c:ptCount val="4"/>
                <c:pt idx="0" c:formatCode="yyyy/m/d;@">
                  <c:v>支付寶</c:v>
                </c:pt>
                <c:pt idx="1" c:formatCode="yyyy/m/d;@">
                  <c:v>微信</c:v>
                </c:pt>
                <c:pt idx="2" c:formatCode="yyyy/m/d;@">
                  <c:v>現金</c:v>
                </c:pt>
                <c:pt idx="3" c:formatCode="yyyy/m/d;@">
                  <c:v>中國銀行</c:v>
                </c:pt>
              </c:strCache>
            </c:strRef>
          </c:cat>
          <c:val>
            <c:numRef>
              <c:f>分類表!$J$31:$J$36</c:f>
              <c:numCache>
                <c:formatCode>_ "￥"* #,##0.00_ ;_ "￥"* \-#,##0.00_ ;_ "￥"* "-"??_ ;_ @_ </c:formatCode>
                <c:ptCount val="4"/>
                <c:pt idx="0">
                  <c:v>400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-27"/>
        <c:axId val="731855900"/>
        <c:axId val="89568465"/>
      </c:barChart>
      <c:catAx>
        <c:axId val="7318559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89568465"/>
        <c:crosses val="autoZero"/>
        <c:auto val="1"/>
        <c:lblAlgn val="ctr"/>
        <c:lblOffset val="100"/>
        <c:noMultiLvlLbl val="0"/>
      </c:catAx>
      <c:valAx>
        <c:axId val="89568465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&quot;￥&quot;* #,##0.00_ ;_ &quot;￥&quot;* \-#,##0.00_ ;_ &quot;￥&quot;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7318559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黑體" panose="02010609060101010101" charset="-122"/>
          <a:ea typeface="黑體" panose="02010609060101010101" charset="-122"/>
          <a:cs typeface="黑體" panose="02010609060101010101" charset="-122"/>
          <a:sym typeface="黑體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57825730674679"/>
          <c:y val="0.0784527376736584"/>
          <c:w val="0.9382682327233"/>
          <c:h val="0.655516208117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分類表!$N$30</c:f>
              <c:strCache>
                <c:ptCount val="1"/>
                <c:pt idx="0">
                  <c:v>收入金額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分類表!$M$31:$M$42</c:f>
              <c:strCache>
                <c:ptCount val="8"/>
                <c:pt idx="0" c:formatCode="yyyy/m/d;@">
                  <c:v>1月份</c:v>
                </c:pt>
                <c:pt idx="1" c:formatCode="yyyy/m/d;@">
                  <c:v>2月份</c:v>
                </c:pt>
                <c:pt idx="2" c:formatCode="yyyy/m/d;@">
                  <c:v>3月份</c:v>
                </c:pt>
                <c:pt idx="3" c:formatCode="yyyy/m/d;@">
                  <c:v>4月份</c:v>
                </c:pt>
                <c:pt idx="4" c:formatCode="yyyy/m/d;@">
                  <c:v>9月份</c:v>
                </c:pt>
                <c:pt idx="5" c:formatCode="yyyy/m/d;@">
                  <c:v>10月份</c:v>
                </c:pt>
                <c:pt idx="6" c:formatCode="yyyy/m/d;@">
                  <c:v>11月份</c:v>
                </c:pt>
                <c:pt idx="7" c:formatCode="yyyy/m/d;@">
                  <c:v>12月份</c:v>
                </c:pt>
              </c:strCache>
            </c:strRef>
          </c:cat>
          <c:val>
            <c:numRef>
              <c:f>分類表!$N$31:$N$42</c:f>
              <c:numCache>
                <c:formatCode>_ "￥"* #,##0.00_ ;_ "￥"* \-#,##0.00_ ;_ "￥"* "-"??_ ;_ @_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800</c:v>
                </c:pt>
                <c:pt idx="3">
                  <c:v>0</c:v>
                </c:pt>
                <c:pt idx="4">
                  <c:v>900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分類表!$O$30</c:f>
              <c:strCache>
                <c:ptCount val="1"/>
                <c:pt idx="0">
                  <c:v>支出金額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分類表!$M$31:$M$42</c:f>
              <c:strCache>
                <c:ptCount val="8"/>
                <c:pt idx="0" c:formatCode="yyyy/m/d;@">
                  <c:v>1月份</c:v>
                </c:pt>
                <c:pt idx="1" c:formatCode="yyyy/m/d;@">
                  <c:v>2月份</c:v>
                </c:pt>
                <c:pt idx="2" c:formatCode="yyyy/m/d;@">
                  <c:v>3月份</c:v>
                </c:pt>
                <c:pt idx="3" c:formatCode="yyyy/m/d;@">
                  <c:v>4月份</c:v>
                </c:pt>
                <c:pt idx="4" c:formatCode="yyyy/m/d;@">
                  <c:v>9月份</c:v>
                </c:pt>
                <c:pt idx="5" c:formatCode="yyyy/m/d;@">
                  <c:v>10月份</c:v>
                </c:pt>
                <c:pt idx="6" c:formatCode="yyyy/m/d;@">
                  <c:v>11月份</c:v>
                </c:pt>
                <c:pt idx="7" c:formatCode="yyyy/m/d;@">
                  <c:v>12月份</c:v>
                </c:pt>
              </c:strCache>
            </c:strRef>
          </c:cat>
          <c:val>
            <c:numRef>
              <c:f>分類表!$O$31:$O$42</c:f>
              <c:numCache>
                <c:formatCode>_ "￥"* #,##0.00_ ;_ "￥"* \-#,##0.00_ ;_ "￥"* "-"??_ ;_ @_ </c:formatCode>
                <c:ptCount val="8"/>
                <c:pt idx="0">
                  <c:v>300</c:v>
                </c:pt>
                <c:pt idx="1">
                  <c:v>0</c:v>
                </c:pt>
                <c:pt idx="2">
                  <c:v>400</c:v>
                </c:pt>
                <c:pt idx="3">
                  <c:v>0</c:v>
                </c:pt>
                <c:pt idx="4">
                  <c:v>300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6"/>
        <c:axId val="921275420"/>
        <c:axId val="920125741"/>
      </c:barChart>
      <c:catAx>
        <c:axId val="9212754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920125741"/>
        <c:crosses val="autoZero"/>
        <c:auto val="1"/>
        <c:lblAlgn val="ctr"/>
        <c:lblOffset val="100"/>
        <c:noMultiLvlLbl val="0"/>
      </c:catAx>
      <c:valAx>
        <c:axId val="920125741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&quot;￥&quot;* #,##0.00_ ;_ &quot;￥&quot;* \-#,##0.00_ ;_ &quot;￥&quot;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212754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x="16" fmlaLink="$H$29" fmlaRange="明细表!$O$5:$O$16" max="4" noThreeD="1" page="6" sel="3" val="0"/>
</file>

<file path=xl/ctrlProps/ctrlProp2.xml><?xml version="1.0" encoding="utf-8"?>
<formControlPr xmlns="http://schemas.microsoft.com/office/spreadsheetml/2009/9/main" objectType="Drop" dx="16" fmlaLink="$M$29" fmlaRange="明细表!$O$20:$O$25" noThreeD="1" page="6" sel="1" val="0"/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133350</xdr:colOff>
      <xdr:row>3</xdr:row>
      <xdr:rowOff>56515</xdr:rowOff>
    </xdr:from>
    <xdr:to>
      <xdr:col>4</xdr:col>
      <xdr:colOff>46990</xdr:colOff>
      <xdr:row>3</xdr:row>
      <xdr:rowOff>365125</xdr:rowOff>
    </xdr:to>
    <xdr:grpSp>
      <xdr:nvGrpSpPr>
        <xdr:cNvPr id="7" name="組合 6"/>
        <xdr:cNvGrpSpPr/>
      </xdr:nvGrpSpPr>
      <xdr:grpSpPr>
        <a:xfrm>
          <a:off x="238125" y="1007110"/>
          <a:ext cx="1656715" cy="308610"/>
          <a:chOff x="570" y="764"/>
          <a:chExt cx="2609" cy="482"/>
        </a:xfrm>
      </xdr:grpSpPr>
      <xdr:sp>
        <xdr:nvSpPr>
          <xdr:cNvPr id="6" name="矩形 5"/>
          <xdr:cNvSpPr/>
        </xdr:nvSpPr>
        <xdr:spPr>
          <a:xfrm>
            <a:off x="2205" y="764"/>
            <a:ext cx="974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/>
          <a:p>
            <a:pPr algn="l"/>
            <a:endParaRPr lang="zh-CN" altLang="en-US" sz="1100"/>
          </a:p>
        </xdr:txBody>
      </xdr:sp>
      <xdr:sp>
        <xdr:nvSpPr>
          <xdr:cNvPr id="5" name="矩形 4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rgbClr val="68A3DA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142875</xdr:colOff>
      <xdr:row>3</xdr:row>
      <xdr:rowOff>76200</xdr:rowOff>
    </xdr:from>
    <xdr:to>
      <xdr:col>3</xdr:col>
      <xdr:colOff>295275</xdr:colOff>
      <xdr:row>3</xdr:row>
      <xdr:rowOff>354965</xdr:rowOff>
    </xdr:to>
    <xdr:sp>
      <xdr:nvSpPr>
        <xdr:cNvPr id="8" name="文本框 7"/>
        <xdr:cNvSpPr txBox="1"/>
      </xdr:nvSpPr>
      <xdr:spPr>
        <a:xfrm>
          <a:off x="247650" y="1026795"/>
          <a:ext cx="1085850" cy="27876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日報表統計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3</xdr:col>
      <xdr:colOff>295275</xdr:colOff>
      <xdr:row>3</xdr:row>
      <xdr:rowOff>57150</xdr:rowOff>
    </xdr:from>
    <xdr:to>
      <xdr:col>4</xdr:col>
      <xdr:colOff>38100</xdr:colOff>
      <xdr:row>3</xdr:row>
      <xdr:rowOff>354965</xdr:rowOff>
    </xdr:to>
    <xdr:sp>
      <xdr:nvSpPr>
        <xdr:cNvPr id="9" name="文本框 8"/>
        <xdr:cNvSpPr txBox="1"/>
      </xdr:nvSpPr>
      <xdr:spPr>
        <a:xfrm>
          <a:off x="1333500" y="1007745"/>
          <a:ext cx="552450" cy="2978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en-US" altLang="zh-CN" sz="1200">
              <a:latin typeface="Arial Black" panose="020B0A04020102020204" charset="0"/>
              <a:cs typeface="Arial Black" panose="020B0A04020102020204" charset="0"/>
            </a:rPr>
            <a:t>01</a:t>
          </a:r>
          <a:endParaRPr lang="en-US" altLang="zh-CN" sz="1200">
            <a:latin typeface="Arial Black" panose="020B0A04020102020204" charset="0"/>
            <a:cs typeface="Arial Black" panose="020B0A04020102020204" charset="0"/>
          </a:endParaRPr>
        </a:p>
      </xdr:txBody>
    </xdr:sp>
    <xdr:clientData/>
  </xdr:twoCellAnchor>
  <xdr:twoCellAnchor>
    <xdr:from>
      <xdr:col>2</xdr:col>
      <xdr:colOff>276225</xdr:colOff>
      <xdr:row>0</xdr:row>
      <xdr:rowOff>288925</xdr:rowOff>
    </xdr:from>
    <xdr:to>
      <xdr:col>7</xdr:col>
      <xdr:colOff>94615</xdr:colOff>
      <xdr:row>1</xdr:row>
      <xdr:rowOff>280670</xdr:rowOff>
    </xdr:to>
    <xdr:grpSp>
      <xdr:nvGrpSpPr>
        <xdr:cNvPr id="10" name="組合 9"/>
        <xdr:cNvGrpSpPr/>
      </xdr:nvGrpSpPr>
      <xdr:grpSpPr>
        <a:xfrm>
          <a:off x="590550" y="288925"/>
          <a:ext cx="2552065" cy="308610"/>
          <a:chOff x="570" y="764"/>
          <a:chExt cx="4019" cy="482"/>
        </a:xfrm>
      </xdr:grpSpPr>
      <xdr:sp>
        <xdr:nvSpPr>
          <xdr:cNvPr id="11" name="矩形 10"/>
          <xdr:cNvSpPr/>
        </xdr:nvSpPr>
        <xdr:spPr>
          <a:xfrm>
            <a:off x="2205" y="764"/>
            <a:ext cx="2384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2" name="矩形 11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rgbClr val="68A3DA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742950</xdr:colOff>
      <xdr:row>0</xdr:row>
      <xdr:rowOff>283210</xdr:rowOff>
    </xdr:from>
    <xdr:to>
      <xdr:col>11</xdr:col>
      <xdr:colOff>267970</xdr:colOff>
      <xdr:row>1</xdr:row>
      <xdr:rowOff>274955</xdr:rowOff>
    </xdr:to>
    <xdr:grpSp>
      <xdr:nvGrpSpPr>
        <xdr:cNvPr id="13" name="組合 12"/>
        <xdr:cNvGrpSpPr/>
      </xdr:nvGrpSpPr>
      <xdr:grpSpPr>
        <a:xfrm>
          <a:off x="4800600" y="283210"/>
          <a:ext cx="2553970" cy="308610"/>
          <a:chOff x="570" y="764"/>
          <a:chExt cx="4022" cy="482"/>
        </a:xfrm>
      </xdr:grpSpPr>
      <xdr:sp>
        <xdr:nvSpPr>
          <xdr:cNvPr id="14" name="矩形 13"/>
          <xdr:cNvSpPr/>
        </xdr:nvSpPr>
        <xdr:spPr>
          <a:xfrm>
            <a:off x="2205" y="764"/>
            <a:ext cx="2387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5" name="矩形 14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rgbClr val="FF999A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12</xdr:col>
      <xdr:colOff>542925</xdr:colOff>
      <xdr:row>0</xdr:row>
      <xdr:rowOff>306705</xdr:rowOff>
    </xdr:from>
    <xdr:to>
      <xdr:col>15</xdr:col>
      <xdr:colOff>67945</xdr:colOff>
      <xdr:row>1</xdr:row>
      <xdr:rowOff>298450</xdr:rowOff>
    </xdr:to>
    <xdr:grpSp>
      <xdr:nvGrpSpPr>
        <xdr:cNvPr id="16" name="組合 15"/>
        <xdr:cNvGrpSpPr/>
      </xdr:nvGrpSpPr>
      <xdr:grpSpPr>
        <a:xfrm>
          <a:off x="8639175" y="306705"/>
          <a:ext cx="2553970" cy="308610"/>
          <a:chOff x="570" y="764"/>
          <a:chExt cx="4022" cy="482"/>
        </a:xfrm>
      </xdr:grpSpPr>
      <xdr:sp>
        <xdr:nvSpPr>
          <xdr:cNvPr id="17" name="矩形 16"/>
          <xdr:cNvSpPr/>
        </xdr:nvSpPr>
        <xdr:spPr>
          <a:xfrm>
            <a:off x="2205" y="764"/>
            <a:ext cx="2387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8" name="矩形 17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chemeClr val="accent3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</xdr:col>
      <xdr:colOff>304800</xdr:colOff>
      <xdr:row>0</xdr:row>
      <xdr:rowOff>288925</xdr:rowOff>
    </xdr:from>
    <xdr:to>
      <xdr:col>3</xdr:col>
      <xdr:colOff>666750</xdr:colOff>
      <xdr:row>1</xdr:row>
      <xdr:rowOff>269875</xdr:rowOff>
    </xdr:to>
    <xdr:sp>
      <xdr:nvSpPr>
        <xdr:cNvPr id="19" name="文本框 18"/>
        <xdr:cNvSpPr txBox="1"/>
      </xdr:nvSpPr>
      <xdr:spPr>
        <a:xfrm>
          <a:off x="619125" y="288925"/>
          <a:ext cx="1085850" cy="2978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累計收入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8</xdr:col>
      <xdr:colOff>752475</xdr:colOff>
      <xdr:row>0</xdr:row>
      <xdr:rowOff>282575</xdr:rowOff>
    </xdr:from>
    <xdr:to>
      <xdr:col>9</xdr:col>
      <xdr:colOff>828675</xdr:colOff>
      <xdr:row>1</xdr:row>
      <xdr:rowOff>263525</xdr:rowOff>
    </xdr:to>
    <xdr:sp>
      <xdr:nvSpPr>
        <xdr:cNvPr id="20" name="文本框 19"/>
        <xdr:cNvSpPr txBox="1"/>
      </xdr:nvSpPr>
      <xdr:spPr>
        <a:xfrm>
          <a:off x="4810125" y="282575"/>
          <a:ext cx="1085850" cy="2978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累計支出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12</xdr:col>
      <xdr:colOff>542925</xdr:colOff>
      <xdr:row>1</xdr:row>
      <xdr:rowOff>15875</xdr:rowOff>
    </xdr:from>
    <xdr:to>
      <xdr:col>13</xdr:col>
      <xdr:colOff>619125</xdr:colOff>
      <xdr:row>1</xdr:row>
      <xdr:rowOff>313690</xdr:rowOff>
    </xdr:to>
    <xdr:sp>
      <xdr:nvSpPr>
        <xdr:cNvPr id="21" name="文本框 20"/>
        <xdr:cNvSpPr txBox="1"/>
      </xdr:nvSpPr>
      <xdr:spPr>
        <a:xfrm>
          <a:off x="8639175" y="332740"/>
          <a:ext cx="1085850" cy="2978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累計結餘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8</xdr:col>
      <xdr:colOff>333375</xdr:colOff>
      <xdr:row>3</xdr:row>
      <xdr:rowOff>56515</xdr:rowOff>
    </xdr:from>
    <xdr:to>
      <xdr:col>9</xdr:col>
      <xdr:colOff>980440</xdr:colOff>
      <xdr:row>3</xdr:row>
      <xdr:rowOff>365125</xdr:rowOff>
    </xdr:to>
    <xdr:grpSp>
      <xdr:nvGrpSpPr>
        <xdr:cNvPr id="22" name="組合 21"/>
        <xdr:cNvGrpSpPr/>
      </xdr:nvGrpSpPr>
      <xdr:grpSpPr>
        <a:xfrm>
          <a:off x="4391025" y="1007110"/>
          <a:ext cx="1656715" cy="308610"/>
          <a:chOff x="570" y="764"/>
          <a:chExt cx="2609" cy="482"/>
        </a:xfrm>
      </xdr:grpSpPr>
      <xdr:sp>
        <xdr:nvSpPr>
          <xdr:cNvPr id="24" name="矩形 23"/>
          <xdr:cNvSpPr/>
        </xdr:nvSpPr>
        <xdr:spPr>
          <a:xfrm>
            <a:off x="2205" y="764"/>
            <a:ext cx="974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25" name="矩形 24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rgbClr val="68A3DA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342900</xdr:colOff>
      <xdr:row>3</xdr:row>
      <xdr:rowOff>63500</xdr:rowOff>
    </xdr:from>
    <xdr:to>
      <xdr:col>9</xdr:col>
      <xdr:colOff>419100</xdr:colOff>
      <xdr:row>3</xdr:row>
      <xdr:rowOff>342265</xdr:rowOff>
    </xdr:to>
    <xdr:sp>
      <xdr:nvSpPr>
        <xdr:cNvPr id="28" name="文本框 27"/>
        <xdr:cNvSpPr txBox="1"/>
      </xdr:nvSpPr>
      <xdr:spPr>
        <a:xfrm>
          <a:off x="4400550" y="1014095"/>
          <a:ext cx="1085850" cy="27876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月報表統計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9</xdr:col>
      <xdr:colOff>428625</xdr:colOff>
      <xdr:row>3</xdr:row>
      <xdr:rowOff>50165</xdr:rowOff>
    </xdr:from>
    <xdr:to>
      <xdr:col>9</xdr:col>
      <xdr:colOff>981075</xdr:colOff>
      <xdr:row>3</xdr:row>
      <xdr:rowOff>357505</xdr:rowOff>
    </xdr:to>
    <xdr:sp>
      <xdr:nvSpPr>
        <xdr:cNvPr id="29" name="文本框 28"/>
        <xdr:cNvSpPr txBox="1"/>
      </xdr:nvSpPr>
      <xdr:spPr>
        <a:xfrm>
          <a:off x="5495925" y="1000760"/>
          <a:ext cx="552450" cy="3073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200">
              <a:latin typeface="Arial Black" panose="020B0A04020102020204" charset="0"/>
              <a:cs typeface="Arial Black" panose="020B0A04020102020204" charset="0"/>
            </a:rPr>
            <a:t>02</a:t>
          </a:r>
          <a:endParaRPr lang="en-US" altLang="zh-CN" sz="1200">
            <a:latin typeface="Arial Black" panose="020B0A04020102020204" charset="0"/>
            <a:cs typeface="Arial Black" panose="020B0A04020102020204" charset="0"/>
          </a:endParaRPr>
        </a:p>
      </xdr:txBody>
    </xdr:sp>
    <xdr:clientData/>
  </xdr:twoCellAnchor>
  <xdr:twoCellAnchor>
    <xdr:from>
      <xdr:col>7</xdr:col>
      <xdr:colOff>95885</xdr:colOff>
      <xdr:row>3</xdr:row>
      <xdr:rowOff>464185</xdr:rowOff>
    </xdr:from>
    <xdr:to>
      <xdr:col>15</xdr:col>
      <xdr:colOff>894715</xdr:colOff>
      <xdr:row>11</xdr:row>
      <xdr:rowOff>125730</xdr:rowOff>
    </xdr:to>
    <xdr:graphicFrame>
      <xdr:nvGraphicFramePr>
        <xdr:cNvPr id="30" name="圖表 29"/>
        <xdr:cNvGraphicFramePr/>
      </xdr:nvGraphicFramePr>
      <xdr:xfrm>
        <a:off x="3143885" y="1414780"/>
        <a:ext cx="8876030" cy="20554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286385</xdr:colOff>
      <xdr:row>13</xdr:row>
      <xdr:rowOff>111760</xdr:rowOff>
    </xdr:from>
    <xdr:to>
      <xdr:col>10</xdr:col>
      <xdr:colOff>819150</xdr:colOff>
      <xdr:row>22</xdr:row>
      <xdr:rowOff>70485</xdr:rowOff>
    </xdr:to>
    <xdr:graphicFrame>
      <xdr:nvGraphicFramePr>
        <xdr:cNvPr id="31" name="圖表 30"/>
        <xdr:cNvGraphicFramePr/>
      </xdr:nvGraphicFramePr>
      <xdr:xfrm>
        <a:off x="2991485" y="3966845"/>
        <a:ext cx="3904615" cy="22561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247650</xdr:colOff>
      <xdr:row>11</xdr:row>
      <xdr:rowOff>205740</xdr:rowOff>
    </xdr:from>
    <xdr:to>
      <xdr:col>15</xdr:col>
      <xdr:colOff>748665</xdr:colOff>
      <xdr:row>20</xdr:row>
      <xdr:rowOff>137160</xdr:rowOff>
    </xdr:to>
    <xdr:graphicFrame>
      <xdr:nvGraphicFramePr>
        <xdr:cNvPr id="32" name="圖表 31"/>
        <xdr:cNvGraphicFramePr/>
      </xdr:nvGraphicFramePr>
      <xdr:xfrm>
        <a:off x="9353550" y="3550285"/>
        <a:ext cx="2520315" cy="2228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779780</xdr:colOff>
      <xdr:row>11</xdr:row>
      <xdr:rowOff>216535</xdr:rowOff>
    </xdr:from>
    <xdr:to>
      <xdr:col>13</xdr:col>
      <xdr:colOff>280670</xdr:colOff>
      <xdr:row>20</xdr:row>
      <xdr:rowOff>165100</xdr:rowOff>
    </xdr:to>
    <xdr:graphicFrame>
      <xdr:nvGraphicFramePr>
        <xdr:cNvPr id="33" name="圖表 32"/>
        <xdr:cNvGraphicFramePr/>
      </xdr:nvGraphicFramePr>
      <xdr:xfrm>
        <a:off x="6856730" y="3561080"/>
        <a:ext cx="2529840" cy="2245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11</xdr:row>
      <xdr:rowOff>236220</xdr:rowOff>
    </xdr:from>
    <xdr:to>
      <xdr:col>8</xdr:col>
      <xdr:colOff>647065</xdr:colOff>
      <xdr:row>13</xdr:row>
      <xdr:rowOff>34290</xdr:rowOff>
    </xdr:to>
    <xdr:grpSp>
      <xdr:nvGrpSpPr>
        <xdr:cNvPr id="34" name="組合 33"/>
        <xdr:cNvGrpSpPr/>
      </xdr:nvGrpSpPr>
      <xdr:grpSpPr>
        <a:xfrm>
          <a:off x="3048000" y="3580765"/>
          <a:ext cx="1656715" cy="308610"/>
          <a:chOff x="570" y="764"/>
          <a:chExt cx="2609" cy="482"/>
        </a:xfrm>
      </xdr:grpSpPr>
      <xdr:sp>
        <xdr:nvSpPr>
          <xdr:cNvPr id="35" name="矩形 34"/>
          <xdr:cNvSpPr/>
        </xdr:nvSpPr>
        <xdr:spPr>
          <a:xfrm>
            <a:off x="2205" y="764"/>
            <a:ext cx="974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36" name="矩形 35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rgbClr val="68A3DA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7</xdr:col>
      <xdr:colOff>19050</xdr:colOff>
      <xdr:row>11</xdr:row>
      <xdr:rowOff>236220</xdr:rowOff>
    </xdr:from>
    <xdr:to>
      <xdr:col>8</xdr:col>
      <xdr:colOff>95250</xdr:colOff>
      <xdr:row>13</xdr:row>
      <xdr:rowOff>32385</xdr:rowOff>
    </xdr:to>
    <xdr:sp>
      <xdr:nvSpPr>
        <xdr:cNvPr id="37" name="文本框 36"/>
        <xdr:cNvSpPr txBox="1"/>
      </xdr:nvSpPr>
      <xdr:spPr>
        <a:xfrm>
          <a:off x="3067050" y="3580765"/>
          <a:ext cx="1085850" cy="3067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賬戶彙總表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8</xdr:col>
      <xdr:colOff>95250</xdr:colOff>
      <xdr:row>11</xdr:row>
      <xdr:rowOff>236220</xdr:rowOff>
    </xdr:from>
    <xdr:to>
      <xdr:col>8</xdr:col>
      <xdr:colOff>647700</xdr:colOff>
      <xdr:row>13</xdr:row>
      <xdr:rowOff>23495</xdr:rowOff>
    </xdr:to>
    <xdr:sp>
      <xdr:nvSpPr>
        <xdr:cNvPr id="38" name="文本框 37"/>
        <xdr:cNvSpPr txBox="1"/>
      </xdr:nvSpPr>
      <xdr:spPr>
        <a:xfrm>
          <a:off x="4152900" y="3580765"/>
          <a:ext cx="552450" cy="2978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200">
              <a:latin typeface="Arial Black" panose="020B0A04020102020204" charset="0"/>
              <a:cs typeface="Arial Black" panose="020B0A04020102020204" charset="0"/>
            </a:rPr>
            <a:t>03</a:t>
          </a:r>
          <a:endParaRPr lang="en-US" altLang="zh-CN" sz="1200">
            <a:latin typeface="Arial Black" panose="020B0A04020102020204" charset="0"/>
            <a:cs typeface="Arial Black" panose="020B0A04020102020204" charset="0"/>
          </a:endParaRPr>
        </a:p>
      </xdr:txBody>
    </xdr:sp>
    <xdr:clientData/>
  </xdr:twoCellAnchor>
  <xdr:twoCellAnchor>
    <xdr:from>
      <xdr:col>7</xdr:col>
      <xdr:colOff>85725</xdr:colOff>
      <xdr:row>23</xdr:row>
      <xdr:rowOff>179070</xdr:rowOff>
    </xdr:from>
    <xdr:to>
      <xdr:col>8</xdr:col>
      <xdr:colOff>732790</xdr:colOff>
      <xdr:row>24</xdr:row>
      <xdr:rowOff>232410</xdr:rowOff>
    </xdr:to>
    <xdr:grpSp>
      <xdr:nvGrpSpPr>
        <xdr:cNvPr id="39" name="組合 38"/>
        <xdr:cNvGrpSpPr/>
      </xdr:nvGrpSpPr>
      <xdr:grpSpPr>
        <a:xfrm>
          <a:off x="3133725" y="6586855"/>
          <a:ext cx="1656715" cy="308610"/>
          <a:chOff x="570" y="764"/>
          <a:chExt cx="2609" cy="482"/>
        </a:xfrm>
      </xdr:grpSpPr>
      <xdr:sp>
        <xdr:nvSpPr>
          <xdr:cNvPr id="40" name="矩形 39"/>
          <xdr:cNvSpPr/>
        </xdr:nvSpPr>
        <xdr:spPr>
          <a:xfrm>
            <a:off x="2205" y="764"/>
            <a:ext cx="974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41" name="矩形 40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rgbClr val="68A3DA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12</xdr:col>
      <xdr:colOff>266700</xdr:colOff>
      <xdr:row>23</xdr:row>
      <xdr:rowOff>163830</xdr:rowOff>
    </xdr:from>
    <xdr:to>
      <xdr:col>13</xdr:col>
      <xdr:colOff>913765</xdr:colOff>
      <xdr:row>24</xdr:row>
      <xdr:rowOff>217170</xdr:rowOff>
    </xdr:to>
    <xdr:grpSp>
      <xdr:nvGrpSpPr>
        <xdr:cNvPr id="42" name="組合 41"/>
        <xdr:cNvGrpSpPr/>
      </xdr:nvGrpSpPr>
      <xdr:grpSpPr>
        <a:xfrm>
          <a:off x="8362950" y="6571615"/>
          <a:ext cx="1656715" cy="308610"/>
          <a:chOff x="570" y="764"/>
          <a:chExt cx="2609" cy="482"/>
        </a:xfrm>
      </xdr:grpSpPr>
      <xdr:sp>
        <xdr:nvSpPr>
          <xdr:cNvPr id="43" name="矩形 42"/>
          <xdr:cNvSpPr/>
        </xdr:nvSpPr>
        <xdr:spPr>
          <a:xfrm>
            <a:off x="2205" y="764"/>
            <a:ext cx="974" cy="482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44" name="矩形 43"/>
          <xdr:cNvSpPr/>
        </xdr:nvSpPr>
        <xdr:spPr>
          <a:xfrm>
            <a:off x="570" y="765"/>
            <a:ext cx="1741" cy="480"/>
          </a:xfrm>
          <a:prstGeom prst="rect">
            <a:avLst/>
          </a:prstGeom>
          <a:solidFill>
            <a:srgbClr val="68A3DA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180975</xdr:colOff>
      <xdr:row>23</xdr:row>
      <xdr:rowOff>179070</xdr:rowOff>
    </xdr:from>
    <xdr:to>
      <xdr:col>8</xdr:col>
      <xdr:colOff>733425</xdr:colOff>
      <xdr:row>24</xdr:row>
      <xdr:rowOff>231140</xdr:rowOff>
    </xdr:to>
    <xdr:sp>
      <xdr:nvSpPr>
        <xdr:cNvPr id="48" name="文本框 47"/>
        <xdr:cNvSpPr txBox="1"/>
      </xdr:nvSpPr>
      <xdr:spPr>
        <a:xfrm>
          <a:off x="4238625" y="6586855"/>
          <a:ext cx="552450" cy="3073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200">
              <a:latin typeface="Arial Black" panose="020B0A04020102020204" charset="0"/>
              <a:cs typeface="Arial Black" panose="020B0A04020102020204" charset="0"/>
            </a:rPr>
            <a:t>04</a:t>
          </a:r>
          <a:endParaRPr lang="en-US" altLang="zh-CN" sz="1200">
            <a:latin typeface="Arial Black" panose="020B0A04020102020204" charset="0"/>
            <a:cs typeface="Arial Black" panose="020B0A04020102020204" charset="0"/>
          </a:endParaRPr>
        </a:p>
      </xdr:txBody>
    </xdr:sp>
    <xdr:clientData/>
  </xdr:twoCellAnchor>
  <xdr:twoCellAnchor>
    <xdr:from>
      <xdr:col>7</xdr:col>
      <xdr:colOff>76200</xdr:colOff>
      <xdr:row>23</xdr:row>
      <xdr:rowOff>188595</xdr:rowOff>
    </xdr:from>
    <xdr:to>
      <xdr:col>8</xdr:col>
      <xdr:colOff>152400</xdr:colOff>
      <xdr:row>24</xdr:row>
      <xdr:rowOff>212090</xdr:rowOff>
    </xdr:to>
    <xdr:sp>
      <xdr:nvSpPr>
        <xdr:cNvPr id="49" name="文本框 48"/>
        <xdr:cNvSpPr txBox="1"/>
      </xdr:nvSpPr>
      <xdr:spPr>
        <a:xfrm>
          <a:off x="3124200" y="6596380"/>
          <a:ext cx="1085850" cy="27876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月度查詢表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12</xdr:col>
      <xdr:colOff>285750</xdr:colOff>
      <xdr:row>23</xdr:row>
      <xdr:rowOff>188595</xdr:rowOff>
    </xdr:from>
    <xdr:to>
      <xdr:col>13</xdr:col>
      <xdr:colOff>361950</xdr:colOff>
      <xdr:row>24</xdr:row>
      <xdr:rowOff>212090</xdr:rowOff>
    </xdr:to>
    <xdr:sp>
      <xdr:nvSpPr>
        <xdr:cNvPr id="50" name="文本框 49"/>
        <xdr:cNvSpPr txBox="1"/>
      </xdr:nvSpPr>
      <xdr:spPr>
        <a:xfrm>
          <a:off x="8382000" y="6596380"/>
          <a:ext cx="1085850" cy="27876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賬戶查詢表</a:t>
          </a:r>
          <a:endParaRPr lang="zh-CN" altLang="en-US" sz="12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  <xdr:twoCellAnchor>
    <xdr:from>
      <xdr:col>13</xdr:col>
      <xdr:colOff>381000</xdr:colOff>
      <xdr:row>23</xdr:row>
      <xdr:rowOff>182880</xdr:rowOff>
    </xdr:from>
    <xdr:to>
      <xdr:col>13</xdr:col>
      <xdr:colOff>933450</xdr:colOff>
      <xdr:row>24</xdr:row>
      <xdr:rowOff>234950</xdr:rowOff>
    </xdr:to>
    <xdr:sp>
      <xdr:nvSpPr>
        <xdr:cNvPr id="51" name="文本框 50"/>
        <xdr:cNvSpPr txBox="1"/>
      </xdr:nvSpPr>
      <xdr:spPr>
        <a:xfrm>
          <a:off x="9486900" y="6590665"/>
          <a:ext cx="552450" cy="3073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200">
              <a:latin typeface="Arial Black" panose="020B0A04020102020204" charset="0"/>
              <a:cs typeface="Arial Black" panose="020B0A04020102020204" charset="0"/>
            </a:rPr>
            <a:t>05</a:t>
          </a:r>
          <a:endParaRPr lang="en-US" altLang="zh-CN" sz="1200">
            <a:latin typeface="Arial Black" panose="020B0A04020102020204" charset="0"/>
            <a:cs typeface="Arial Black" panose="020B0A0402010202020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752475</xdr:colOff>
          <xdr:row>23</xdr:row>
          <xdr:rowOff>152400</xdr:rowOff>
        </xdr:from>
        <xdr:to>
          <xdr:col>9</xdr:col>
          <xdr:colOff>762000</xdr:colOff>
          <xdr:row>24</xdr:row>
          <xdr:rowOff>247650</xdr:rowOff>
        </xdr:to>
        <xdr:sp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4810125" y="6560185"/>
              <a:ext cx="1019175" cy="3505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23</xdr:row>
          <xdr:rowOff>152400</xdr:rowOff>
        </xdr:from>
        <xdr:to>
          <xdr:col>15</xdr:col>
          <xdr:colOff>9525</xdr:colOff>
          <xdr:row>24</xdr:row>
          <xdr:rowOff>247650</xdr:rowOff>
        </xdr:to>
        <xdr:sp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0115550" y="6560185"/>
              <a:ext cx="1019175" cy="35052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25400</xdr:colOff>
      <xdr:row>25</xdr:row>
      <xdr:rowOff>149225</xdr:rowOff>
    </xdr:from>
    <xdr:to>
      <xdr:col>10</xdr:col>
      <xdr:colOff>739775</xdr:colOff>
      <xdr:row>33</xdr:row>
      <xdr:rowOff>101600</xdr:rowOff>
    </xdr:to>
    <xdr:graphicFrame>
      <xdr:nvGraphicFramePr>
        <xdr:cNvPr id="2" name="圖表 1"/>
        <xdr:cNvGraphicFramePr/>
      </xdr:nvGraphicFramePr>
      <xdr:xfrm>
        <a:off x="2730500" y="7067550"/>
        <a:ext cx="4086225" cy="19945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43180</xdr:colOff>
      <xdr:row>25</xdr:row>
      <xdr:rowOff>17145</xdr:rowOff>
    </xdr:from>
    <xdr:to>
      <xdr:col>15</xdr:col>
      <xdr:colOff>654050</xdr:colOff>
      <xdr:row>34</xdr:row>
      <xdr:rowOff>119380</xdr:rowOff>
    </xdr:to>
    <xdr:graphicFrame>
      <xdr:nvGraphicFramePr>
        <xdr:cNvPr id="3" name="圖表 2"/>
        <xdr:cNvGraphicFramePr/>
      </xdr:nvGraphicFramePr>
      <xdr:xfrm>
        <a:off x="7129780" y="6935470"/>
        <a:ext cx="4649470" cy="22802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6"/>
  <sheetViews>
    <sheetView showGridLines="0" tabSelected="1" topLeftCell="D1" workbookViewId="0">
      <selection activeCell="Y17" sqref="Y17"/>
    </sheetView>
  </sheetViews>
  <sheetFormatPr defaultColWidth="9" defaultRowHeight="13.5"/>
  <cols>
    <col min="1" max="1" width="1.375" customWidth="1"/>
    <col min="2" max="2" width="2.75" customWidth="1"/>
    <col min="3" max="3" width="9.5" customWidth="1"/>
    <col min="4" max="4" width="10.625" customWidth="1"/>
    <col min="5" max="5" width="4.5" customWidth="1"/>
    <col min="6" max="6" width="6.75" customWidth="1"/>
    <col min="7" max="7" width="4.5" customWidth="1"/>
    <col min="8" max="16" width="13.25" customWidth="1"/>
  </cols>
  <sheetData>
    <row r="1" ht="24.95" customHeight="1" spans="1:16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ht="24.95" customHeight="1" spans="1:16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ht="24.95" customHeight="1" spans="1:16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ht="44.1" customHeight="1" spans="1:16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ht="24.95" customHeight="1" spans="1:16">
      <c r="A5" s="33"/>
      <c r="B5" s="34"/>
      <c r="C5" s="35" t="s">
        <v>0</v>
      </c>
      <c r="D5" s="36">
        <v>2021</v>
      </c>
      <c r="E5" s="42" t="s">
        <v>1</v>
      </c>
      <c r="F5" s="36">
        <v>3</v>
      </c>
      <c r="G5" s="42" t="s">
        <v>2</v>
      </c>
      <c r="H5" s="33"/>
      <c r="I5" s="49">
        <f>SUM(明細表!$D$5:$D$20000)</f>
        <v>9300</v>
      </c>
      <c r="J5" s="50">
        <f>SUM(明細表!$J$5:$J$20000)</f>
        <v>5500</v>
      </c>
      <c r="K5" s="50">
        <f>I5-J5</f>
        <v>3800</v>
      </c>
      <c r="L5" s="33"/>
      <c r="M5" s="33"/>
      <c r="N5" s="33"/>
      <c r="O5" s="33"/>
      <c r="P5" s="33"/>
    </row>
    <row r="6" ht="14.1" customHeight="1" spans="1:16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ht="24.95" customHeight="1" spans="1:16">
      <c r="A7" s="33"/>
      <c r="B7" s="33"/>
      <c r="C7" s="37" t="s">
        <v>3</v>
      </c>
      <c r="D7" s="38" t="s">
        <v>4</v>
      </c>
      <c r="E7" s="38" t="s">
        <v>5</v>
      </c>
      <c r="F7" s="4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="32" customFormat="1" ht="20.1" customHeight="1" spans="1:16">
      <c r="A8" s="39"/>
      <c r="B8" s="39"/>
      <c r="C8" s="40">
        <f>IF(MONTH(DATE($D$5,$F$5,ROW()-7))=$F$5,DATE($D$5,$F$5,ROW()-7),"")</f>
        <v>44256</v>
      </c>
      <c r="D8" s="41">
        <f>SUMIF(明細表!$B$5:$B$20000,C8,明細表!$D$5:$D$20000)</f>
        <v>600</v>
      </c>
      <c r="E8" s="41">
        <f>SUMIF(明細表!$H$5:$H$20000,C8,明細表!$J$5:$J$20000)</f>
        <v>100</v>
      </c>
      <c r="F8" s="41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="32" customFormat="1" ht="20.1" customHeight="1" spans="1:16">
      <c r="A9" s="39"/>
      <c r="B9" s="39"/>
      <c r="C9" s="40">
        <f t="shared" ref="C9:C18" si="0">IF(MONTH(DATE($D$5,$F$5,ROW()-7))=$F$5,DATE($D$5,$F$5,ROW()-7),"")</f>
        <v>44257</v>
      </c>
      <c r="D9" s="41">
        <f>SUMIF(明細表!$B$5:$B$20000,C9,明細表!$D$5:$D$20000)</f>
        <v>200</v>
      </c>
      <c r="E9" s="41">
        <f>SUMIF(明細表!$H$5:$H$20000,C9,明細表!$J$5:$J$20000)</f>
        <v>300</v>
      </c>
      <c r="F9" s="41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="32" customFormat="1" ht="20.1" customHeight="1" spans="1:16">
      <c r="A10" s="39"/>
      <c r="B10" s="39"/>
      <c r="C10" s="40">
        <f t="shared" si="0"/>
        <v>44258</v>
      </c>
      <c r="D10" s="41">
        <f>SUMIF(明細表!$B$5:$B$20000,C10,明細表!$D$5:$D$20000)</f>
        <v>400</v>
      </c>
      <c r="E10" s="41">
        <f>SUMIF(明細表!$H$5:$H$20000,C10,明細表!$J$5:$J$20000)</f>
        <v>100</v>
      </c>
      <c r="F10" s="41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="32" customFormat="1" ht="20.1" customHeight="1" spans="1:16">
      <c r="A11" s="39"/>
      <c r="B11" s="39"/>
      <c r="C11" s="40">
        <f t="shared" si="0"/>
        <v>44259</v>
      </c>
      <c r="D11" s="41">
        <f>SUMIF(明細表!$B$5:$B$20000,C11,明細表!$D$5:$D$20000)</f>
        <v>200</v>
      </c>
      <c r="E11" s="41">
        <f>SUMIF(明細表!$H$5:$H$20000,C11,明細表!$J$5:$J$20000)</f>
        <v>100</v>
      </c>
      <c r="F11" s="41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="32" customFormat="1" ht="20.1" customHeight="1" spans="1:16">
      <c r="A12" s="39"/>
      <c r="B12" s="39"/>
      <c r="C12" s="40">
        <f t="shared" si="0"/>
        <v>44260</v>
      </c>
      <c r="D12" s="41">
        <f>SUMIF(明細表!$B$5:$B$20000,C12,明細表!$D$5:$D$20000)</f>
        <v>200</v>
      </c>
      <c r="E12" s="41">
        <f>SUMIF(明細表!$H$5:$H$20000,C12,明細表!$J$5:$J$20000)</f>
        <v>100</v>
      </c>
      <c r="F12" s="41"/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="32" customFormat="1" ht="20.1" customHeight="1" spans="1:16">
      <c r="A13" s="39"/>
      <c r="B13" s="39"/>
      <c r="C13" s="40">
        <f t="shared" si="0"/>
        <v>44261</v>
      </c>
      <c r="D13" s="41">
        <f>SUMIF(明細表!$B$5:$B$20000,C13,明細表!$D$5:$D$20000)</f>
        <v>200</v>
      </c>
      <c r="E13" s="41">
        <f>SUMIF(明細表!$H$5:$H$20000,C13,明細表!$J$5:$J$20000)</f>
        <v>100</v>
      </c>
      <c r="F13" s="41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="32" customFormat="1" ht="20.1" customHeight="1" spans="1:16">
      <c r="A14" s="39"/>
      <c r="B14" s="39"/>
      <c r="C14" s="40">
        <f t="shared" si="0"/>
        <v>44262</v>
      </c>
      <c r="D14" s="41">
        <f>SUMIF(明細表!$B$5:$B$20000,C14,明細表!$D$5:$D$20000)</f>
        <v>600</v>
      </c>
      <c r="E14" s="41">
        <f>SUMIF(明細表!$H$5:$H$20000,C14,明細表!$J$5:$J$20000)</f>
        <v>100</v>
      </c>
      <c r="F14" s="41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="32" customFormat="1" ht="20.1" customHeight="1" spans="1:16">
      <c r="A15" s="39"/>
      <c r="B15" s="39"/>
      <c r="C15" s="40">
        <f t="shared" si="0"/>
        <v>44263</v>
      </c>
      <c r="D15" s="41">
        <f>SUMIF(明細表!$B$5:$B$20000,C15,明細表!$D$5:$D$20000)</f>
        <v>200</v>
      </c>
      <c r="E15" s="41">
        <f>SUMIF(明細表!$H$5:$H$20000,C15,明細表!$J$5:$J$20000)</f>
        <v>100</v>
      </c>
      <c r="F15" s="41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="32" customFormat="1" ht="20.1" customHeight="1" spans="1:16">
      <c r="A16" s="39"/>
      <c r="B16" s="39"/>
      <c r="C16" s="40">
        <f t="shared" si="0"/>
        <v>44264</v>
      </c>
      <c r="D16" s="41">
        <f>SUMIF(明細表!$B$5:$B$20000,C16,明細表!$D$5:$D$20000)</f>
        <v>200</v>
      </c>
      <c r="E16" s="41">
        <f>SUMIF(明細表!$H$5:$H$20000,C16,明細表!$J$5:$J$20000)</f>
        <v>100</v>
      </c>
      <c r="F16" s="41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="32" customFormat="1" ht="20.1" customHeight="1" spans="1:16">
      <c r="A17" s="39"/>
      <c r="B17" s="39"/>
      <c r="C17" s="40">
        <f t="shared" si="0"/>
        <v>44265</v>
      </c>
      <c r="D17" s="41">
        <f>SUMIF(明細表!$B$5:$B$20000,C17,明細表!$D$5:$D$20000)</f>
        <v>200</v>
      </c>
      <c r="E17" s="41">
        <f>SUMIF(明細表!$H$5:$H$20000,C17,明細表!$J$5:$J$20000)</f>
        <v>100</v>
      </c>
      <c r="F17" s="41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="32" customFormat="1" ht="20.1" customHeight="1" spans="1:16">
      <c r="A18" s="39"/>
      <c r="B18" s="39"/>
      <c r="C18" s="40">
        <f t="shared" si="0"/>
        <v>44266</v>
      </c>
      <c r="D18" s="41">
        <f>SUMIF(明細表!$B$5:$B$20000,C18,明細表!$D$5:$D$20000)</f>
        <v>0</v>
      </c>
      <c r="E18" s="41">
        <f>SUMIF(明細表!$H$5:$H$20000,C18,明細表!$J$5:$J$20000)</f>
        <v>0</v>
      </c>
      <c r="F18" s="41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="32" customFormat="1" ht="20.1" customHeight="1" spans="1:16">
      <c r="A19" s="39"/>
      <c r="B19" s="39"/>
      <c r="C19" s="40">
        <f t="shared" ref="C19:C28" si="1">IF(MONTH(DATE($D$5,$F$5,ROW()-7))=$F$5,DATE($D$5,$F$5,ROW()-7),"")</f>
        <v>44267</v>
      </c>
      <c r="D19" s="41">
        <f>SUMIF(明細表!$B$5:$B$20000,C19,明細表!$D$5:$D$20000)</f>
        <v>400</v>
      </c>
      <c r="E19" s="41">
        <f>SUMIF(明細表!$H$5:$H$20000,C19,明細表!$J$5:$J$20000)</f>
        <v>0</v>
      </c>
      <c r="F19" s="41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="32" customFormat="1" ht="20.1" customHeight="1" spans="1:16">
      <c r="A20" s="39"/>
      <c r="B20" s="39"/>
      <c r="C20" s="40">
        <f t="shared" si="1"/>
        <v>44268</v>
      </c>
      <c r="D20" s="41">
        <f>SUMIF(明細表!$B$5:$B$20000,C20,明細表!$D$5:$D$20000)</f>
        <v>0</v>
      </c>
      <c r="E20" s="41">
        <f>SUMIF(明細表!$H$5:$H$20000,C20,明細表!$J$5:$J$20000)</f>
        <v>0</v>
      </c>
      <c r="F20" s="41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="32" customFormat="1" ht="20.1" customHeight="1" spans="1:16">
      <c r="A21" s="39"/>
      <c r="B21" s="39"/>
      <c r="C21" s="40">
        <f t="shared" si="1"/>
        <v>44269</v>
      </c>
      <c r="D21" s="41">
        <f>SUMIF(明細表!$B$5:$B$20000,C21,明細表!$D$5:$D$20000)</f>
        <v>0</v>
      </c>
      <c r="E21" s="41">
        <f>SUMIF(明細表!$H$5:$H$20000,C21,明細表!$J$5:$J$20000)</f>
        <v>0</v>
      </c>
      <c r="F21" s="41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="32" customFormat="1" ht="20.1" customHeight="1" spans="1:16">
      <c r="A22" s="39"/>
      <c r="B22" s="39"/>
      <c r="C22" s="40">
        <f t="shared" si="1"/>
        <v>44270</v>
      </c>
      <c r="D22" s="41">
        <f>SUMIF(明細表!$B$5:$B$20000,C22,明細表!$D$5:$D$20000)</f>
        <v>0</v>
      </c>
      <c r="E22" s="41">
        <f>SUMIF(明細表!$H$5:$H$20000,C22,明細表!$J$5:$J$20000)</f>
        <v>0</v>
      </c>
      <c r="F22" s="41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="32" customFormat="1" ht="20.1" customHeight="1" spans="1:16">
      <c r="A23" s="39"/>
      <c r="B23" s="39"/>
      <c r="C23" s="40">
        <f t="shared" si="1"/>
        <v>44271</v>
      </c>
      <c r="D23" s="41">
        <f>SUMIF(明細表!$B$5:$B$20000,C23,明細表!$D$5:$D$20000)</f>
        <v>0</v>
      </c>
      <c r="E23" s="41">
        <f>SUMIF(明細表!$H$5:$H$20000,C23,明細表!$J$5:$J$20000)</f>
        <v>0</v>
      </c>
      <c r="F23" s="41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="32" customFormat="1" ht="20.1" customHeight="1" spans="1:16">
      <c r="A24" s="39"/>
      <c r="B24" s="39"/>
      <c r="C24" s="40">
        <f t="shared" si="1"/>
        <v>44272</v>
      </c>
      <c r="D24" s="41">
        <f>SUMIF(明細表!$B$5:$B$20000,C24,明細表!$D$5:$D$20000)</f>
        <v>0</v>
      </c>
      <c r="E24" s="41">
        <f>SUMIF(明細表!$H$5:$H$20000,C24,明細表!$J$5:$J$20000)</f>
        <v>0</v>
      </c>
      <c r="F24" s="41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="32" customFormat="1" ht="20.1" customHeight="1" spans="1:16">
      <c r="A25" s="39"/>
      <c r="B25" s="39"/>
      <c r="C25" s="40">
        <f t="shared" si="1"/>
        <v>44273</v>
      </c>
      <c r="D25" s="41">
        <f>SUMIF(明細表!$B$5:$B$20000,C25,明細表!$D$5:$D$20000)</f>
        <v>0</v>
      </c>
      <c r="E25" s="41">
        <f>SUMIF(明細表!$H$5:$H$20000,C25,明細表!$J$5:$J$20000)</f>
        <v>0</v>
      </c>
      <c r="F25" s="41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="32" customFormat="1" ht="20.1" customHeight="1" spans="1:16">
      <c r="A26" s="39"/>
      <c r="B26" s="39"/>
      <c r="C26" s="40">
        <f t="shared" si="1"/>
        <v>44274</v>
      </c>
      <c r="D26" s="41">
        <f>SUMIF(明細表!$B$5:$B$20000,C26,明細表!$D$5:$D$20000)</f>
        <v>0</v>
      </c>
      <c r="E26" s="41">
        <f>SUMIF(明細表!$H$5:$H$20000,C26,明細表!$J$5:$J$20000)</f>
        <v>0</v>
      </c>
      <c r="F26" s="41"/>
      <c r="G26" s="39"/>
      <c r="H26" s="39"/>
      <c r="I26" s="39"/>
      <c r="J26" s="51"/>
      <c r="K26" s="39"/>
      <c r="L26" s="39"/>
      <c r="M26" s="39"/>
      <c r="N26" s="39"/>
      <c r="O26" s="39"/>
      <c r="P26" s="39"/>
    </row>
    <row r="27" s="32" customFormat="1" ht="20.1" customHeight="1" spans="1:16">
      <c r="A27" s="39"/>
      <c r="B27" s="39"/>
      <c r="C27" s="40">
        <f t="shared" si="1"/>
        <v>44275</v>
      </c>
      <c r="D27" s="41">
        <f>SUMIF(明細表!$B$5:$B$20000,C27,明細表!$D$5:$D$20000)</f>
        <v>0</v>
      </c>
      <c r="E27" s="41">
        <f>SUMIF(明細表!$H$5:$H$20000,C27,明細表!$J$5:$J$20000)</f>
        <v>0</v>
      </c>
      <c r="F27" s="41"/>
      <c r="G27" s="39"/>
      <c r="H27" s="39"/>
      <c r="I27" s="39"/>
      <c r="J27" s="51"/>
      <c r="K27" s="39"/>
      <c r="L27" s="39"/>
      <c r="M27" s="39"/>
      <c r="N27" s="39"/>
      <c r="O27" s="39"/>
      <c r="P27" s="39"/>
    </row>
    <row r="28" s="32" customFormat="1" ht="20.1" customHeight="1" spans="1:16">
      <c r="A28" s="39"/>
      <c r="B28" s="39"/>
      <c r="C28" s="40">
        <f t="shared" si="1"/>
        <v>44276</v>
      </c>
      <c r="D28" s="41">
        <f>SUMIF(明細表!$B$5:$B$20000,C28,明細表!$D$5:$D$20000)</f>
        <v>0</v>
      </c>
      <c r="E28" s="41">
        <f>SUMIF(明細表!$H$5:$H$20000,C28,明細表!$J$5:$J$20000)</f>
        <v>0</v>
      </c>
      <c r="F28" s="41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="32" customFormat="1" ht="20.1" customHeight="1" spans="1:16">
      <c r="A29" s="39"/>
      <c r="B29" s="39"/>
      <c r="C29" s="40">
        <f t="shared" ref="C29:C38" si="2">IF(MONTH(DATE($D$5,$F$5,ROW()-7))=$F$5,DATE($D$5,$F$5,ROW()-7),"")</f>
        <v>44277</v>
      </c>
      <c r="D29" s="41">
        <f>SUMIF(明細表!$B$5:$B$20000,C29,明細表!$D$5:$D$20000)</f>
        <v>0</v>
      </c>
      <c r="E29" s="41">
        <f>SUMIF(明細表!$H$5:$H$20000,C29,明細表!$J$5:$J$20000)</f>
        <v>0</v>
      </c>
      <c r="F29" s="41"/>
      <c r="G29" s="39"/>
      <c r="H29" s="44">
        <v>3</v>
      </c>
      <c r="I29" s="46"/>
      <c r="J29" s="46"/>
      <c r="K29" s="46"/>
      <c r="L29" s="52"/>
      <c r="M29" s="56">
        <v>1</v>
      </c>
      <c r="N29" s="52"/>
      <c r="O29" s="52"/>
      <c r="P29" s="39"/>
    </row>
    <row r="30" s="32" customFormat="1" ht="20.1" customHeight="1" spans="1:16">
      <c r="A30" s="39"/>
      <c r="B30" s="39"/>
      <c r="C30" s="40">
        <f t="shared" si="2"/>
        <v>44278</v>
      </c>
      <c r="D30" s="41">
        <f>SUMIF(明細表!$B$5:$B$20000,C30,明細表!$D$5:$D$20000)</f>
        <v>0</v>
      </c>
      <c r="E30" s="41">
        <f>SUMIF(明細表!$H$5:$H$20000,C30,明細表!$J$5:$J$20000)</f>
        <v>0</v>
      </c>
      <c r="F30" s="41"/>
      <c r="G30" s="39"/>
      <c r="H30" s="45" t="str">
        <f>INDEX(明細表!O5:O16,H29,1)</f>
        <v>3月份</v>
      </c>
      <c r="I30" s="45" t="s">
        <v>4</v>
      </c>
      <c r="J30" s="45" t="s">
        <v>5</v>
      </c>
      <c r="K30" s="46"/>
      <c r="L30" s="52"/>
      <c r="M30" s="57" t="str">
        <f>INDEX(明細表!O20:O25,M29,1)</f>
        <v>支付寶</v>
      </c>
      <c r="N30" s="57" t="s">
        <v>4</v>
      </c>
      <c r="O30" s="57" t="s">
        <v>5</v>
      </c>
      <c r="P30" s="39"/>
    </row>
    <row r="31" s="32" customFormat="1" ht="20.1" customHeight="1" spans="1:16">
      <c r="A31" s="39"/>
      <c r="B31" s="39"/>
      <c r="C31" s="40">
        <f t="shared" si="2"/>
        <v>44279</v>
      </c>
      <c r="D31" s="41">
        <f>SUMIF(明細表!$B$5:$B$20000,C31,明細表!$D$5:$D$20000)</f>
        <v>0</v>
      </c>
      <c r="E31" s="41">
        <f>SUMIF(明細表!$H$5:$H$20000,C31,明細表!$J$5:$J$20000)</f>
        <v>0</v>
      </c>
      <c r="F31" s="41"/>
      <c r="G31" s="39"/>
      <c r="H31" s="45" t="s">
        <v>6</v>
      </c>
      <c r="I31" s="53">
        <f>SUMPRODUCT((MONTH(明細表!$B$5:$B$2000)=$H$29)*((明細表!$F$5:$F$2000)=H31)*(明細表!$D$5:$D$2000))</f>
        <v>800</v>
      </c>
      <c r="J31" s="53">
        <f>SUMPRODUCT((MONTH(明細表!$H$5:$H$2000)=$H$29)*((明細表!$L$5:$L$2000)=H31)*(明細表!$J$5:$J$2000))</f>
        <v>400</v>
      </c>
      <c r="K31" s="46"/>
      <c r="L31" s="52"/>
      <c r="M31" s="57" t="s">
        <v>7</v>
      </c>
      <c r="N31" s="58">
        <f>SUMPRODUCT((MONTH(明細表!$B$5:$B$2000)=1)*((明細表!$F$5:$F$2000)=$M$30)*(明細表!$D$5:$D$2000))</f>
        <v>0</v>
      </c>
      <c r="O31" s="58">
        <f>SUMPRODUCT((MONTH(明細表!$H$5:$H$2000)=1)*((明細表!$L$5:$L$2000)=$M$30)*(明細表!$J$5:$J$2000))</f>
        <v>300</v>
      </c>
      <c r="P31" s="39"/>
    </row>
    <row r="32" s="32" customFormat="1" ht="20.1" customHeight="1" spans="1:16">
      <c r="A32" s="39"/>
      <c r="B32" s="39"/>
      <c r="C32" s="40">
        <f t="shared" si="2"/>
        <v>44280</v>
      </c>
      <c r="D32" s="41">
        <f>SUMIF(明細表!$B$5:$B$20000,C32,明細表!$D$5:$D$20000)</f>
        <v>0</v>
      </c>
      <c r="E32" s="41">
        <f>SUMIF(明細表!$H$5:$H$20000,C32,明細表!$J$5:$J$20000)</f>
        <v>0</v>
      </c>
      <c r="F32" s="41"/>
      <c r="G32" s="39"/>
      <c r="H32" s="45" t="s">
        <v>8</v>
      </c>
      <c r="I32" s="53">
        <f>SUMPRODUCT((MONTH(明細表!$B$5:$B$2000)=$H$29)*((明細表!$F$5:$F$2000)=H32)*(明細表!$D$5:$D$2000))</f>
        <v>400</v>
      </c>
      <c r="J32" s="53">
        <f>SUMPRODUCT((MONTH(明細表!$H$5:$H$2000)=$H$29)*((明細表!$L$5:$L$2000)=H32)*(明細表!$J$5:$J$2000))</f>
        <v>200</v>
      </c>
      <c r="K32" s="46"/>
      <c r="L32" s="52"/>
      <c r="M32" s="57" t="s">
        <v>9</v>
      </c>
      <c r="N32" s="58">
        <f>SUMPRODUCT((MONTH(明細表!$B$5:$B$2000)=2)*((明細表!$F$5:$F$2000)=$M$30)*(明細表!$D$5:$D$2000))</f>
        <v>0</v>
      </c>
      <c r="O32" s="58">
        <f>SUMPRODUCT((MONTH(明細表!$H$5:$H$2000)=2)*((明細表!$L$5:$L$2000)=$M$30)*(明細表!$J$5:$J$2000))</f>
        <v>0</v>
      </c>
      <c r="P32" s="39"/>
    </row>
    <row r="33" s="32" customFormat="1" ht="20.1" customHeight="1" spans="1:16">
      <c r="A33" s="39"/>
      <c r="B33" s="39"/>
      <c r="C33" s="40">
        <f t="shared" si="2"/>
        <v>44281</v>
      </c>
      <c r="D33" s="41">
        <f>SUMIF(明細表!$B$5:$B$20000,C33,明細表!$D$5:$D$20000)</f>
        <v>0</v>
      </c>
      <c r="E33" s="41">
        <f>SUMIF(明細表!$H$5:$H$20000,C33,明細表!$J$5:$J$20000)</f>
        <v>0</v>
      </c>
      <c r="F33" s="41"/>
      <c r="G33" s="39"/>
      <c r="H33" s="45" t="s">
        <v>10</v>
      </c>
      <c r="I33" s="53">
        <f>SUMPRODUCT((MONTH(明細表!$B$5:$B$2000)=$H$29)*((明細表!$F$5:$F$2000)=H33)*(明細表!$D$5:$D$2000))</f>
        <v>1000</v>
      </c>
      <c r="J33" s="53">
        <f>SUMPRODUCT((MONTH(明細表!$H$5:$H$2000)=$H$29)*((明細表!$L$5:$L$2000)=H33)*(明細表!$J$5:$J$2000))</f>
        <v>200</v>
      </c>
      <c r="K33" s="46"/>
      <c r="L33" s="52"/>
      <c r="M33" s="57" t="s">
        <v>11</v>
      </c>
      <c r="N33" s="58">
        <f>SUMPRODUCT((MONTH(明細表!$B$5:$B$2000)=3)*((明細表!$F$5:$F$2000)=$M$30)*(明細表!$D$5:$D$2000))</f>
        <v>800</v>
      </c>
      <c r="O33" s="58">
        <f>SUMPRODUCT((MONTH(明細表!$H$5:$H$2000)=3)*((明細表!$L$5:$L$2000)=$M$30)*(明細表!$J$5:$J$2000))</f>
        <v>400</v>
      </c>
      <c r="P33" s="39"/>
    </row>
    <row r="34" s="32" customFormat="1" ht="20.1" customHeight="1" spans="1:16">
      <c r="A34" s="39"/>
      <c r="B34" s="39"/>
      <c r="C34" s="40">
        <f t="shared" si="2"/>
        <v>44282</v>
      </c>
      <c r="D34" s="41">
        <f>SUMIF(明細表!$B$5:$B$20000,C34,明細表!$D$5:$D$20000)</f>
        <v>0</v>
      </c>
      <c r="E34" s="41">
        <f>SUMIF(明細表!$H$5:$H$20000,C34,明細表!$J$5:$J$20000)</f>
        <v>0</v>
      </c>
      <c r="F34" s="41"/>
      <c r="G34" s="39"/>
      <c r="H34" s="45" t="s">
        <v>12</v>
      </c>
      <c r="I34" s="53">
        <f>SUMPRODUCT((MONTH(明細表!$B$5:$B$2000)=$H$29)*((明細表!$F$5:$F$2000)=H34)*(明細表!$D$5:$D$2000))</f>
        <v>600</v>
      </c>
      <c r="J34" s="53">
        <f>SUMPRODUCT((MONTH(明細表!$H$5:$H$2000)=$H$29)*((明細表!$L$5:$L$2000)=H34)*(明細表!$J$5:$J$2000))</f>
        <v>200</v>
      </c>
      <c r="K34" s="46"/>
      <c r="L34" s="52"/>
      <c r="M34" s="57" t="s">
        <v>13</v>
      </c>
      <c r="N34" s="58">
        <f>SUMPRODUCT((MONTH(明細表!$B$5:$B$2000)=4)*((明細表!$F$5:$F$2000)=$M$30)*(明細表!$D$5:$D$2000))</f>
        <v>0</v>
      </c>
      <c r="O34" s="58">
        <f>SUMPRODUCT((MONTH(明細表!$H$5:$H$2000)=4)*((明細表!$L$5:$L$2000)=$M$30)*(明細表!$J$5:$J$2000))</f>
        <v>0</v>
      </c>
      <c r="P34" s="39"/>
    </row>
    <row r="35" s="32" customFormat="1" ht="20.1" hidden="1" customHeight="1" spans="1:16">
      <c r="A35" s="39"/>
      <c r="B35" s="39"/>
      <c r="C35" s="40">
        <f t="shared" si="2"/>
        <v>44283</v>
      </c>
      <c r="D35" s="41">
        <f>SUMIF(明細表!$B$5:$B$20000,C35,明細表!$D$5:$D$20000)</f>
        <v>0</v>
      </c>
      <c r="E35" s="41">
        <f>SUMIF(明細表!$H$5:$H$20000,C35,明細表!$J$5:$J$20000)</f>
        <v>0</v>
      </c>
      <c r="F35" s="41"/>
      <c r="G35" s="39"/>
      <c r="H35" s="45" t="s">
        <v>14</v>
      </c>
      <c r="I35" s="53">
        <f>SUMPRODUCT((MONTH(明細表!$B$5:$B$2000)=$H$29)*((明細表!$F$5:$F$2000)=H35)*(明細表!$D$5:$D$2000))</f>
        <v>400</v>
      </c>
      <c r="J35" s="53">
        <f>SUMPRODUCT((MONTH(明細表!$H$5:$H$2000)=$H$29)*((明細表!$L$5:$L$2000)=H35)*(明細表!$J$5:$J$2000))</f>
        <v>100</v>
      </c>
      <c r="K35" s="46"/>
      <c r="L35" s="52"/>
      <c r="M35" s="57" t="s">
        <v>15</v>
      </c>
      <c r="N35" s="58">
        <f>SUMPRODUCT((MONTH(明細表!$B$5:$B$2000)=5)*((明細表!$F$5:$F$2000)=$M$30)*(明細表!$D$5:$D$2000))</f>
        <v>0</v>
      </c>
      <c r="O35" s="58">
        <f>SUMPRODUCT((MONTH(明細表!$H$5:$H$2000)=5)*((明細表!$L$5:$L$2000)=$M$30)*(明細表!$J$5:$J$2000))</f>
        <v>0</v>
      </c>
      <c r="P35" s="39"/>
    </row>
    <row r="36" s="32" customFormat="1" ht="20.1" hidden="1" customHeight="1" spans="1:16">
      <c r="A36" s="39"/>
      <c r="B36" s="39"/>
      <c r="C36" s="40">
        <f t="shared" si="2"/>
        <v>44284</v>
      </c>
      <c r="D36" s="41">
        <f>SUMIF(明細表!$B$5:$B$20000,C36,明細表!$D$5:$D$20000)</f>
        <v>0</v>
      </c>
      <c r="E36" s="41">
        <f>SUMIF(明細表!$H$5:$H$20000,C36,明細表!$J$5:$J$20000)</f>
        <v>0</v>
      </c>
      <c r="F36" s="41"/>
      <c r="G36" s="39"/>
      <c r="H36" s="45" t="s">
        <v>16</v>
      </c>
      <c r="I36" s="53">
        <f>SUMPRODUCT((MONTH(明細表!$B$5:$B$2000)=$H$29)*((明細表!$F$5:$F$2000)=H36)*(明細表!$D$5:$D$2000))</f>
        <v>200</v>
      </c>
      <c r="J36" s="53">
        <f>SUMPRODUCT((MONTH(明細表!$H$5:$H$2000)=$H$29)*((明細表!$L$5:$L$2000)=H36)*(明細表!$J$5:$J$2000))</f>
        <v>100</v>
      </c>
      <c r="K36" s="46"/>
      <c r="L36" s="54"/>
      <c r="M36" s="59" t="s">
        <v>17</v>
      </c>
      <c r="N36" s="60">
        <f>SUMPRODUCT((MONTH(明細表!$B$5:$B$2000)=6)*((明細表!$F$5:$F$2000)=$M$30)*(明細表!$D$5:$D$2000))</f>
        <v>0</v>
      </c>
      <c r="O36" s="60">
        <f>SUMPRODUCT((MONTH(明細表!$H$5:$H$2000)=6)*((明細表!$L$5:$L$2000)=$M$30)*(明細表!$J$5:$J$2000))</f>
        <v>0</v>
      </c>
      <c r="P36" s="54"/>
    </row>
    <row r="37" s="32" customFormat="1" ht="20.1" hidden="1" customHeight="1" spans="1:16">
      <c r="A37" s="39"/>
      <c r="B37" s="39"/>
      <c r="C37" s="40">
        <f t="shared" si="2"/>
        <v>44285</v>
      </c>
      <c r="D37" s="41">
        <f>SUMIF(明細表!$B$5:$B$20000,C37,明細表!$D$5:$D$20000)</f>
        <v>0</v>
      </c>
      <c r="E37" s="41">
        <f>SUMIF(明細表!$H$5:$H$20000,C37,明細表!$J$5:$J$20000)</f>
        <v>0</v>
      </c>
      <c r="F37" s="41"/>
      <c r="G37" s="39"/>
      <c r="H37" s="46"/>
      <c r="I37" s="46"/>
      <c r="J37" s="46"/>
      <c r="K37" s="46"/>
      <c r="L37" s="54"/>
      <c r="M37" s="59" t="s">
        <v>18</v>
      </c>
      <c r="N37" s="60">
        <f>SUMPRODUCT((MONTH(明細表!$B$5:$B$2000)=7)*((明細表!$F$5:$F$2000)=$M$30)*(明細表!$D$5:$D$2000))</f>
        <v>0</v>
      </c>
      <c r="O37" s="60">
        <f>SUMPRODUCT((MONTH(明細表!$H$5:$H$2000)=7)*((明細表!$L$5:$L$2000)=$M$30)*(明細表!$J$5:$J$2000))</f>
        <v>0</v>
      </c>
      <c r="P37" s="54"/>
    </row>
    <row r="38" s="32" customFormat="1" ht="20.1" hidden="1" customHeight="1" spans="1:16">
      <c r="A38" s="39"/>
      <c r="B38" s="39"/>
      <c r="C38" s="40">
        <f t="shared" si="2"/>
        <v>44286</v>
      </c>
      <c r="D38" s="41">
        <f>SUMIF(明細表!$B$5:$B$20000,C38,明細表!$D$5:$D$20000)</f>
        <v>0</v>
      </c>
      <c r="E38" s="41">
        <f>SUMIF(明細表!$H$5:$H$20000,C38,明細表!$J$5:$J$20000)</f>
        <v>0</v>
      </c>
      <c r="F38" s="41"/>
      <c r="G38" s="39"/>
      <c r="H38" s="39"/>
      <c r="I38" s="39"/>
      <c r="J38" s="39"/>
      <c r="K38" s="39"/>
      <c r="L38" s="54"/>
      <c r="M38" s="59" t="s">
        <v>19</v>
      </c>
      <c r="N38" s="60">
        <f>SUMPRODUCT((MONTH(明細表!$B$5:$B$2000)=8)*((明細表!$F$5:$F$2000)=$M$30)*(明細表!$D$5:$D$2000))</f>
        <v>0</v>
      </c>
      <c r="O38" s="60">
        <f>SUMPRODUCT((MONTH(明細表!$H$5:$H$2000)=8)*((明細表!$L$5:$L$2000)=$M$30)*(明細表!$J$5:$J$2000))</f>
        <v>0</v>
      </c>
      <c r="P38" s="54"/>
    </row>
    <row r="39" s="32" customFormat="1" ht="20.1" customHeight="1" spans="1:17">
      <c r="A39" s="39"/>
      <c r="B39" s="39"/>
      <c r="C39" s="40" t="s">
        <v>20</v>
      </c>
      <c r="D39" s="41">
        <f>SUM(D8:D38)</f>
        <v>3400</v>
      </c>
      <c r="E39" s="47">
        <f>SUM(E8:F38)</f>
        <v>1200</v>
      </c>
      <c r="F39" s="48"/>
      <c r="G39" s="39"/>
      <c r="H39" s="39"/>
      <c r="I39" s="39"/>
      <c r="J39" s="39"/>
      <c r="K39" s="39"/>
      <c r="L39" s="54"/>
      <c r="M39" s="59" t="s">
        <v>21</v>
      </c>
      <c r="N39" s="60">
        <f>SUMPRODUCT((MONTH(明細表!$B$5:$B$2000)=9)*((明細表!$F$5:$F$2000)=$M$30)*(明細表!$D$5:$D$2000))</f>
        <v>900</v>
      </c>
      <c r="O39" s="60">
        <f>SUMPRODUCT((MONTH(明細表!$H$5:$H$2000)=9)*((明細表!$L$5:$L$2000)=$M$30)*(明細表!$J$5:$J$2000))</f>
        <v>300</v>
      </c>
      <c r="P39" s="54"/>
      <c r="Q39" s="55"/>
    </row>
    <row r="40" s="32" customFormat="1" ht="20.1" customHeight="1" spans="1:17">
      <c r="A40" s="39"/>
      <c r="B40" s="39"/>
      <c r="C40" s="39"/>
      <c r="D40" s="39"/>
      <c r="E40" s="39"/>
      <c r="F40" s="39"/>
      <c r="G40" s="39"/>
      <c r="H40" s="33"/>
      <c r="I40" s="33"/>
      <c r="J40" s="33"/>
      <c r="K40" s="39"/>
      <c r="L40" s="54"/>
      <c r="M40" s="59" t="s">
        <v>22</v>
      </c>
      <c r="N40" s="60">
        <f>SUMPRODUCT((MONTH(明細表!$B$5:$B$2000)=10)*((明細表!$F$5:$F$2000)=$M$30)*(明細表!$D$5:$D$2000))</f>
        <v>0</v>
      </c>
      <c r="O40" s="60">
        <f>SUMPRODUCT((MONTH(明細表!$H$5:$H$2000)=10)*((明細表!$L$5:$L$2000)=$M$30)*(明細表!$J$5:$J$2000))</f>
        <v>0</v>
      </c>
      <c r="P40" s="54"/>
      <c r="Q40" s="63"/>
    </row>
    <row r="41" s="32" customFormat="1" ht="20.1" customHeight="1" spans="8:17">
      <c r="H41"/>
      <c r="I41"/>
      <c r="J41"/>
      <c r="L41" s="55"/>
      <c r="M41" s="61" t="s">
        <v>23</v>
      </c>
      <c r="N41" s="62">
        <f>SUMPRODUCT((MONTH(明細表!$B$5:$B$2000)=11)*((明細表!$F$5:$F$2000)=$M$30)*(明細表!$D$5:$D$2000))</f>
        <v>0</v>
      </c>
      <c r="O41" s="62">
        <f>SUMPRODUCT((MONTH(明細表!$H$5:$H$2000)=11)*((明細表!$L$5:$L$2000)=$M$30)*(明細表!$J$5:$J$2000))</f>
        <v>0</v>
      </c>
      <c r="P41" s="55"/>
      <c r="Q41" s="63"/>
    </row>
    <row r="42" ht="20.1" customHeight="1" spans="11:17">
      <c r="K42" s="32"/>
      <c r="L42" s="55"/>
      <c r="M42" s="61" t="s">
        <v>24</v>
      </c>
      <c r="N42" s="62">
        <f>SUMPRODUCT((MONTH(明細表!$B$5:$B$2000)=12)*((明細表!$F$5:$F$2000)=$M$30)*(明細表!$D$5:$D$2000))</f>
        <v>0</v>
      </c>
      <c r="O42" s="62">
        <f>SUMPRODUCT((MONTH(明細表!$H$5:$H$2000)=12)*((明細表!$L$5:$L$2000)=$M$30)*(明細表!$J$5:$J$2000))</f>
        <v>0</v>
      </c>
      <c r="P42" s="55"/>
      <c r="Q42" s="63"/>
    </row>
    <row r="43" ht="20.1" customHeight="1" spans="11:16">
      <c r="K43" s="32"/>
      <c r="L43" s="32"/>
      <c r="M43" s="32"/>
      <c r="N43" s="32"/>
      <c r="O43" s="32"/>
      <c r="P43" s="32"/>
    </row>
    <row r="44" ht="20.1" customHeight="1"/>
    <row r="45" ht="20.1" customHeight="1"/>
    <row r="46" ht="20.1" customHeight="1"/>
    <row r="47" ht="20.1" customHeight="1"/>
    <row r="48" ht="20.1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</sheetData>
  <sheetProtection formatCells="0" insertHyperlinks="0" autoFilter="0"/>
  <mergeCells count="33"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conditionalFormatting sqref="D8:D38">
    <cfRule type="dataBar" priority="2">
      <dataBar>
        <cfvo type="min"/>
        <cfvo type="formula" val="$I$5"/>
        <color rgb="FFE1EEFA"/>
      </dataBar>
      <extLst>
        <ext xmlns:x14="http://schemas.microsoft.com/office/spreadsheetml/2009/9/main" uri="{B025F937-C7B1-47D3-B67F-A62EFF666E3E}">
          <x14:id>{2d9302a1-daca-4578-9246-d79097192faa}</x14:id>
        </ext>
      </extLst>
    </cfRule>
  </conditionalFormatting>
  <conditionalFormatting sqref="E8:F38">
    <cfRule type="dataBar" priority="1">
      <dataBar>
        <cfvo type="min"/>
        <cfvo type="formula" val="$J$5"/>
        <color rgb="FFFFDBDC"/>
      </dataBar>
      <extLst>
        <ext xmlns:x14="http://schemas.microsoft.com/office/spreadsheetml/2009/9/main" uri="{B025F937-C7B1-47D3-B67F-A62EFF666E3E}">
          <x14:id>{14a70d61-e085-4c59-93f7-3e054c9b977d}</x14:id>
        </ext>
      </extLst>
    </cfRule>
  </conditionalFormatting>
  <dataValidations count="1">
    <dataValidation type="list" allowBlank="1" showInputMessage="1" showErrorMessage="1" sqref="J27">
      <formula1>明細表!$O$5:$O$16</formula1>
    </dataValidation>
  </dataValidation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Drop Down 2" r:id="rId3">
              <controlPr defaultSize="0">
                <anchor moveWithCells="1">
                  <from>
                    <xdr:col>8</xdr:col>
                    <xdr:colOff>752475</xdr:colOff>
                    <xdr:row>23</xdr:row>
                    <xdr:rowOff>152400</xdr:rowOff>
                  </from>
                  <to>
                    <xdr:col>9</xdr:col>
                    <xdr:colOff>762000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Drop Down 3" r:id="rId4">
              <controlPr defaultSize="0">
                <anchor moveWithCells="1">
                  <from>
                    <xdr:col>14</xdr:col>
                    <xdr:colOff>0</xdr:colOff>
                    <xdr:row>23</xdr:row>
                    <xdr:rowOff>152400</xdr:rowOff>
                  </from>
                  <to>
                    <xdr:col>15</xdr:col>
                    <xdr:colOff>9525</xdr:colOff>
                    <xdr:row>24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9302a1-daca-4578-9246-d79097192faa}">
            <x14:dataBar minLength="0" maxLength="100" gradient="0">
              <x14:cfvo type="autoMin"/>
              <x14:cfvo type="formula">
                <xm:f>$I$5</xm:f>
              </x14:cfvo>
              <x14:negativeFillColor rgb="FFFF0000"/>
              <x14:axisColor rgb="FF000000"/>
            </x14:dataBar>
          </x14:cfRule>
          <xm:sqref>D8:D38</xm:sqref>
        </x14:conditionalFormatting>
        <x14:conditionalFormatting xmlns:xm="http://schemas.microsoft.com/office/excel/2006/main">
          <x14:cfRule type="dataBar" id="{14a70d61-e085-4c59-93f7-3e054c9b977d}">
            <x14:dataBar minLength="0" maxLength="100" gradient="0">
              <x14:cfvo type="autoMin"/>
              <x14:cfvo type="formula">
                <xm:f>$J$5</xm:f>
              </x14:cfvo>
              <x14:negativeFillColor rgb="FFFF0000"/>
              <x14:axisColor rgb="FF000000"/>
            </x14:dataBar>
          </x14:cfRule>
          <xm:sqref>E8:F38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37"/>
  <sheetViews>
    <sheetView showGridLines="0" topLeftCell="A6" workbookViewId="0">
      <selection activeCell="D28" sqref="D28"/>
    </sheetView>
  </sheetViews>
  <sheetFormatPr defaultColWidth="9.875" defaultRowHeight="14.25"/>
  <cols>
    <col min="1" max="1" width="3.625" style="1" customWidth="1"/>
    <col min="2" max="2" width="13.125" style="2" customWidth="1"/>
    <col min="3" max="3" width="16.125" style="2" customWidth="1"/>
    <col min="4" max="4" width="13.375" style="3" customWidth="1"/>
    <col min="5" max="5" width="11.625" style="4" customWidth="1"/>
    <col min="6" max="6" width="12.375" style="4" customWidth="1"/>
    <col min="7" max="7" width="10.5" style="5" customWidth="1"/>
    <col min="8" max="8" width="13.875" style="6" customWidth="1"/>
    <col min="9" max="9" width="15.625" style="7" customWidth="1"/>
    <col min="10" max="10" width="12.5" style="3" customWidth="1"/>
    <col min="11" max="12" width="12" style="8" customWidth="1"/>
    <col min="13" max="13" width="12" style="9" customWidth="1"/>
    <col min="14" max="14" width="2.75" style="1" customWidth="1"/>
    <col min="15" max="17" width="11.375" style="1" customWidth="1"/>
    <col min="18" max="16367" width="9" style="10"/>
    <col min="16368" max="16384" width="9.875" style="10"/>
  </cols>
  <sheetData>
    <row r="1" ht="12" customHeight="1"/>
    <row r="2" ht="39" customHeight="1" spans="2:13">
      <c r="B2" s="11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1.1" customHeight="1" spans="2:13">
      <c r="B3" s="12"/>
      <c r="C3" s="12"/>
      <c r="D3" s="12"/>
      <c r="E3" s="12"/>
      <c r="F3" s="12"/>
      <c r="G3" s="12"/>
      <c r="H3" s="12"/>
      <c r="I3" s="12"/>
      <c r="J3" s="12"/>
      <c r="K3" s="12"/>
      <c r="L3" s="25"/>
      <c r="M3" s="12"/>
    </row>
    <row r="4" ht="27.95" customHeight="1" spans="2:17">
      <c r="B4" s="13" t="s">
        <v>3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9" t="s">
        <v>3</v>
      </c>
      <c r="I4" s="19" t="s">
        <v>26</v>
      </c>
      <c r="J4" s="19" t="s">
        <v>27</v>
      </c>
      <c r="K4" s="19" t="s">
        <v>28</v>
      </c>
      <c r="L4" s="19" t="s">
        <v>29</v>
      </c>
      <c r="M4" s="26" t="s">
        <v>30</v>
      </c>
      <c r="O4" s="13" t="s">
        <v>31</v>
      </c>
      <c r="P4" s="13" t="s">
        <v>32</v>
      </c>
      <c r="Q4" s="13" t="s">
        <v>33</v>
      </c>
    </row>
    <row r="5" ht="24.95" customHeight="1" spans="2:17">
      <c r="B5" s="15">
        <v>44256</v>
      </c>
      <c r="C5" s="15" t="s">
        <v>34</v>
      </c>
      <c r="D5" s="16">
        <v>200</v>
      </c>
      <c r="E5" s="16" t="s">
        <v>35</v>
      </c>
      <c r="F5" s="20" t="s">
        <v>6</v>
      </c>
      <c r="G5" s="21"/>
      <c r="H5" s="22">
        <v>44205</v>
      </c>
      <c r="I5" s="17" t="s">
        <v>36</v>
      </c>
      <c r="J5" s="18">
        <v>300</v>
      </c>
      <c r="K5" s="16" t="s">
        <v>35</v>
      </c>
      <c r="L5" s="20" t="s">
        <v>6</v>
      </c>
      <c r="M5" s="18"/>
      <c r="O5" s="18" t="s">
        <v>7</v>
      </c>
      <c r="P5" s="18">
        <f>SUMPRODUCT((MONTH($B$5:$B$23)=1)*($D$5:$D$23))</f>
        <v>200</v>
      </c>
      <c r="Q5" s="18">
        <f>SUMPRODUCT((MONTH($H$5:$H$23)=1)*($J$5:$J$23))</f>
        <v>600</v>
      </c>
    </row>
    <row r="6" ht="24.95" customHeight="1" spans="2:17">
      <c r="B6" s="17">
        <v>44256</v>
      </c>
      <c r="C6" s="17" t="s">
        <v>34</v>
      </c>
      <c r="D6" s="18">
        <v>200</v>
      </c>
      <c r="E6" s="16" t="s">
        <v>37</v>
      </c>
      <c r="F6" s="23" t="s">
        <v>8</v>
      </c>
      <c r="G6" s="24"/>
      <c r="H6" s="22">
        <v>44205</v>
      </c>
      <c r="I6" s="17" t="s">
        <v>36</v>
      </c>
      <c r="J6" s="18">
        <v>300</v>
      </c>
      <c r="K6" s="16" t="s">
        <v>37</v>
      </c>
      <c r="L6" s="23" t="s">
        <v>8</v>
      </c>
      <c r="M6" s="18"/>
      <c r="O6" s="18" t="s">
        <v>9</v>
      </c>
      <c r="P6" s="18">
        <f>SUMPRODUCT((MONTH($B$5:$B$23)=2)*($D$5:$D$23))</f>
        <v>800</v>
      </c>
      <c r="Q6" s="18">
        <f>SUMPRODUCT((MONTH($H$5:$H$23)=2)*($J$5:$J$23))</f>
        <v>600</v>
      </c>
    </row>
    <row r="7" ht="24.95" customHeight="1" spans="2:17">
      <c r="B7" s="17">
        <v>44205</v>
      </c>
      <c r="C7" s="17" t="s">
        <v>34</v>
      </c>
      <c r="D7" s="18">
        <v>200</v>
      </c>
      <c r="E7" s="16" t="s">
        <v>38</v>
      </c>
      <c r="F7" s="23" t="s">
        <v>10</v>
      </c>
      <c r="G7" s="24"/>
      <c r="H7" s="22">
        <v>44233</v>
      </c>
      <c r="I7" s="17" t="s">
        <v>36</v>
      </c>
      <c r="J7" s="18">
        <v>100</v>
      </c>
      <c r="K7" s="16" t="s">
        <v>38</v>
      </c>
      <c r="L7" s="23" t="s">
        <v>10</v>
      </c>
      <c r="M7" s="18"/>
      <c r="O7" s="18" t="s">
        <v>11</v>
      </c>
      <c r="P7" s="18">
        <f>SUMPRODUCT((MONTH($B$5:$B$23)=3)*($D$5:$D$23))</f>
        <v>1600</v>
      </c>
      <c r="Q7" s="18">
        <f>SUMPRODUCT((MONTH($H$5:$H$23)=3)*($J$5:$J$23))</f>
        <v>500</v>
      </c>
    </row>
    <row r="8" ht="24.95" customHeight="1" spans="2:17">
      <c r="B8" s="17">
        <v>44228</v>
      </c>
      <c r="C8" s="17" t="s">
        <v>34</v>
      </c>
      <c r="D8" s="18">
        <v>300</v>
      </c>
      <c r="E8" s="16" t="s">
        <v>39</v>
      </c>
      <c r="F8" s="23" t="s">
        <v>12</v>
      </c>
      <c r="G8" s="24"/>
      <c r="H8" s="22">
        <v>44239</v>
      </c>
      <c r="I8" s="17" t="s">
        <v>36</v>
      </c>
      <c r="J8" s="18">
        <v>200</v>
      </c>
      <c r="K8" s="16" t="s">
        <v>39</v>
      </c>
      <c r="L8" s="23" t="s">
        <v>12</v>
      </c>
      <c r="M8" s="18"/>
      <c r="O8" s="18" t="s">
        <v>13</v>
      </c>
      <c r="P8" s="18">
        <f>SUMPRODUCT((MONTH($B$5:$B$23)=4)*($D$5:$D$23))</f>
        <v>300</v>
      </c>
      <c r="Q8" s="18">
        <f>SUMPRODUCT((MONTH($H$5:$H$23)=4)*($J$5:$J$23))</f>
        <v>500</v>
      </c>
    </row>
    <row r="9" ht="24.95" customHeight="1" spans="2:17">
      <c r="B9" s="17">
        <v>44233</v>
      </c>
      <c r="C9" s="17" t="s">
        <v>34</v>
      </c>
      <c r="D9" s="18">
        <v>400</v>
      </c>
      <c r="E9" s="16" t="s">
        <v>40</v>
      </c>
      <c r="F9" s="23" t="s">
        <v>14</v>
      </c>
      <c r="G9" s="24"/>
      <c r="H9" s="22">
        <v>44243</v>
      </c>
      <c r="I9" s="17" t="s">
        <v>36</v>
      </c>
      <c r="J9" s="18">
        <v>200</v>
      </c>
      <c r="K9" s="16" t="s">
        <v>40</v>
      </c>
      <c r="L9" s="23" t="s">
        <v>14</v>
      </c>
      <c r="M9" s="18"/>
      <c r="O9" s="18" t="s">
        <v>15</v>
      </c>
      <c r="P9" s="18">
        <f>SUMPRODUCT((MONTH($B$5:$B$23)=5)*($D$5:$D$23))</f>
        <v>500</v>
      </c>
      <c r="Q9" s="18">
        <f>SUMPRODUCT((MONTH($H$5:$H$23)=5)*($J$5:$J$23))</f>
        <v>100</v>
      </c>
    </row>
    <row r="10" ht="24.95" customHeight="1" spans="2:17">
      <c r="B10" s="17">
        <v>44239</v>
      </c>
      <c r="C10" s="17" t="s">
        <v>34</v>
      </c>
      <c r="D10" s="18">
        <v>100</v>
      </c>
      <c r="E10" s="16" t="s">
        <v>35</v>
      </c>
      <c r="F10" s="23" t="s">
        <v>16</v>
      </c>
      <c r="G10" s="24"/>
      <c r="H10" s="22">
        <v>44245</v>
      </c>
      <c r="I10" s="17" t="s">
        <v>36</v>
      </c>
      <c r="J10" s="18">
        <v>100</v>
      </c>
      <c r="K10" s="16" t="s">
        <v>35</v>
      </c>
      <c r="L10" s="23" t="s">
        <v>16</v>
      </c>
      <c r="M10" s="18"/>
      <c r="O10" s="18" t="s">
        <v>17</v>
      </c>
      <c r="P10" s="18">
        <f>SUMPRODUCT((MONTH($B$5:$B$23)=6)*($D$5:$D$23))</f>
        <v>600</v>
      </c>
      <c r="Q10" s="18">
        <f>SUMPRODUCT((MONTH($H$5:$H$23)=6)*($J$5:$J$23))</f>
        <v>500</v>
      </c>
    </row>
    <row r="11" ht="24.95" customHeight="1" spans="2:17">
      <c r="B11" s="17">
        <v>44267</v>
      </c>
      <c r="C11" s="17" t="s">
        <v>34</v>
      </c>
      <c r="D11" s="18">
        <v>400</v>
      </c>
      <c r="E11" s="16" t="s">
        <v>37</v>
      </c>
      <c r="F11" s="20" t="s">
        <v>6</v>
      </c>
      <c r="G11" s="24"/>
      <c r="H11" s="22">
        <v>44257</v>
      </c>
      <c r="I11" s="17" t="s">
        <v>36</v>
      </c>
      <c r="J11" s="18">
        <v>200</v>
      </c>
      <c r="K11" s="16" t="s">
        <v>37</v>
      </c>
      <c r="L11" s="20" t="s">
        <v>6</v>
      </c>
      <c r="M11" s="18"/>
      <c r="O11" s="18" t="s">
        <v>18</v>
      </c>
      <c r="P11" s="18">
        <f>SUMPRODUCT((MONTH($B$5:$B$23)=7)*($D$5:$D$23))</f>
        <v>700</v>
      </c>
      <c r="Q11" s="18">
        <f>SUMPRODUCT((MONTH($H$5:$H$23)=7)*($J$5:$J$23))</f>
        <v>400</v>
      </c>
    </row>
    <row r="12" ht="24.95" customHeight="1" spans="2:17">
      <c r="B12" s="17">
        <v>44299</v>
      </c>
      <c r="C12" s="17" t="s">
        <v>34</v>
      </c>
      <c r="D12" s="18">
        <v>300</v>
      </c>
      <c r="E12" s="16" t="s">
        <v>38</v>
      </c>
      <c r="F12" s="23" t="s">
        <v>8</v>
      </c>
      <c r="G12" s="24"/>
      <c r="H12" s="22">
        <v>44298</v>
      </c>
      <c r="I12" s="17" t="s">
        <v>36</v>
      </c>
      <c r="J12" s="18">
        <v>500</v>
      </c>
      <c r="K12" s="16" t="s">
        <v>38</v>
      </c>
      <c r="L12" s="23" t="s">
        <v>8</v>
      </c>
      <c r="M12" s="27"/>
      <c r="O12" s="18" t="s">
        <v>19</v>
      </c>
      <c r="P12" s="18">
        <f>SUMPRODUCT((MONTH($B$5:$B$23)=8)*($D$5:$D$23))</f>
        <v>800</v>
      </c>
      <c r="Q12" s="18">
        <f>SUMPRODUCT((MONTH($H$5:$H$23)=8)*($J$5:$J$23))</f>
        <v>300</v>
      </c>
    </row>
    <row r="13" ht="24.95" customHeight="1" spans="2:17">
      <c r="B13" s="17">
        <v>44332</v>
      </c>
      <c r="C13" s="17" t="s">
        <v>34</v>
      </c>
      <c r="D13" s="18">
        <v>500</v>
      </c>
      <c r="E13" s="16" t="s">
        <v>39</v>
      </c>
      <c r="F13" s="23" t="s">
        <v>10</v>
      </c>
      <c r="G13" s="24"/>
      <c r="H13" s="22">
        <v>44330</v>
      </c>
      <c r="I13" s="17" t="s">
        <v>36</v>
      </c>
      <c r="J13" s="18">
        <v>100</v>
      </c>
      <c r="K13" s="16" t="s">
        <v>39</v>
      </c>
      <c r="L13" s="23" t="s">
        <v>10</v>
      </c>
      <c r="M13" s="27"/>
      <c r="O13" s="18" t="s">
        <v>21</v>
      </c>
      <c r="P13" s="18">
        <f>SUMPRODUCT((MONTH($B$5:$B$23)=9)*($D$5:$D$23))</f>
        <v>900</v>
      </c>
      <c r="Q13" s="18">
        <f>SUMPRODUCT((MONTH($H$5:$H$23)=9)*($J$5:$J$23))</f>
        <v>300</v>
      </c>
    </row>
    <row r="14" ht="24.95" customHeight="1" spans="2:17">
      <c r="B14" s="17">
        <v>44361</v>
      </c>
      <c r="C14" s="17" t="s">
        <v>34</v>
      </c>
      <c r="D14" s="18">
        <v>600</v>
      </c>
      <c r="E14" s="16" t="s">
        <v>40</v>
      </c>
      <c r="F14" s="23" t="s">
        <v>12</v>
      </c>
      <c r="G14" s="24"/>
      <c r="H14" s="22">
        <v>44363</v>
      </c>
      <c r="I14" s="17" t="s">
        <v>36</v>
      </c>
      <c r="J14" s="18">
        <v>500</v>
      </c>
      <c r="K14" s="16" t="s">
        <v>40</v>
      </c>
      <c r="L14" s="23" t="s">
        <v>12</v>
      </c>
      <c r="M14" s="27"/>
      <c r="O14" s="18" t="s">
        <v>22</v>
      </c>
      <c r="P14" s="18">
        <f>SUMPRODUCT((MONTH($B$5:$B$23)=10)*($D$5:$D$23))</f>
        <v>100</v>
      </c>
      <c r="Q14" s="18">
        <f>SUMPRODUCT((MONTH($H$5:$H$23)=10)*($J$5:$J$23))</f>
        <v>100</v>
      </c>
    </row>
    <row r="15" ht="24.95" customHeight="1" spans="2:17">
      <c r="B15" s="17">
        <v>44391</v>
      </c>
      <c r="C15" s="17" t="s">
        <v>34</v>
      </c>
      <c r="D15" s="18">
        <v>700</v>
      </c>
      <c r="E15" s="16" t="s">
        <v>35</v>
      </c>
      <c r="F15" s="23" t="s">
        <v>14</v>
      </c>
      <c r="G15" s="24"/>
      <c r="H15" s="22">
        <v>44389</v>
      </c>
      <c r="I15" s="17" t="s">
        <v>36</v>
      </c>
      <c r="J15" s="18">
        <v>400</v>
      </c>
      <c r="K15" s="16" t="s">
        <v>35</v>
      </c>
      <c r="L15" s="23" t="s">
        <v>14</v>
      </c>
      <c r="M15" s="27"/>
      <c r="O15" s="18" t="s">
        <v>23</v>
      </c>
      <c r="P15" s="18">
        <f>SUMPRODUCT((MONTH($B$5:$B$23)=11)*($D$5:$D$23))</f>
        <v>600</v>
      </c>
      <c r="Q15" s="18">
        <f>SUMPRODUCT((MONTH($H$5:$H$23)=11)*($J$5:$J$23))</f>
        <v>300</v>
      </c>
    </row>
    <row r="16" ht="24.95" customHeight="1" spans="2:17">
      <c r="B16" s="17">
        <v>44424</v>
      </c>
      <c r="C16" s="17" t="s">
        <v>34</v>
      </c>
      <c r="D16" s="18">
        <v>800</v>
      </c>
      <c r="E16" s="16" t="s">
        <v>37</v>
      </c>
      <c r="F16" s="23" t="s">
        <v>16</v>
      </c>
      <c r="G16" s="24"/>
      <c r="H16" s="22">
        <v>44422</v>
      </c>
      <c r="I16" s="17" t="s">
        <v>36</v>
      </c>
      <c r="J16" s="18">
        <v>300</v>
      </c>
      <c r="K16" s="16" t="s">
        <v>37</v>
      </c>
      <c r="L16" s="23" t="s">
        <v>16</v>
      </c>
      <c r="M16" s="27"/>
      <c r="O16" s="18" t="s">
        <v>24</v>
      </c>
      <c r="P16" s="18">
        <f>SUMPRODUCT((MONTH($B$5:$B$23)=12)*($D$5:$D$23))</f>
        <v>400</v>
      </c>
      <c r="Q16" s="18">
        <f>SUMPRODUCT((MONTH($H$5:$H$23)=12)*($J$5:$J$23))</f>
        <v>600</v>
      </c>
    </row>
    <row r="17" ht="24.95" customHeight="1" spans="2:17">
      <c r="B17" s="17">
        <v>44454</v>
      </c>
      <c r="C17" s="17" t="s">
        <v>34</v>
      </c>
      <c r="D17" s="18">
        <v>900</v>
      </c>
      <c r="E17" s="16" t="s">
        <v>38</v>
      </c>
      <c r="F17" s="20" t="s">
        <v>6</v>
      </c>
      <c r="G17" s="24"/>
      <c r="H17" s="22">
        <v>44454</v>
      </c>
      <c r="I17" s="17" t="s">
        <v>36</v>
      </c>
      <c r="J17" s="18">
        <v>300</v>
      </c>
      <c r="K17" s="16" t="s">
        <v>38</v>
      </c>
      <c r="L17" s="20" t="s">
        <v>6</v>
      </c>
      <c r="M17" s="27"/>
      <c r="O17" s="18" t="s">
        <v>20</v>
      </c>
      <c r="P17" s="18">
        <f>SUM(P5:P16)</f>
        <v>7500</v>
      </c>
      <c r="Q17" s="18">
        <f>SUM(Q5:Q16)</f>
        <v>4800</v>
      </c>
    </row>
    <row r="18" ht="24.95" customHeight="1" spans="2:13">
      <c r="B18" s="17">
        <v>44488</v>
      </c>
      <c r="C18" s="17" t="s">
        <v>34</v>
      </c>
      <c r="D18" s="18">
        <v>100</v>
      </c>
      <c r="E18" s="16" t="s">
        <v>39</v>
      </c>
      <c r="F18" s="23" t="s">
        <v>8</v>
      </c>
      <c r="G18" s="24"/>
      <c r="H18" s="22">
        <v>44484</v>
      </c>
      <c r="I18" s="17" t="s">
        <v>36</v>
      </c>
      <c r="J18" s="18">
        <v>100</v>
      </c>
      <c r="K18" s="16" t="s">
        <v>39</v>
      </c>
      <c r="L18" s="23" t="s">
        <v>8</v>
      </c>
      <c r="M18" s="27"/>
    </row>
    <row r="19" ht="24.95" customHeight="1" spans="2:17">
      <c r="B19" s="17">
        <v>44506</v>
      </c>
      <c r="C19" s="17" t="s">
        <v>34</v>
      </c>
      <c r="D19" s="18">
        <v>600</v>
      </c>
      <c r="E19" s="16" t="s">
        <v>40</v>
      </c>
      <c r="F19" s="23" t="s">
        <v>10</v>
      </c>
      <c r="G19" s="24"/>
      <c r="H19" s="22">
        <v>44517</v>
      </c>
      <c r="I19" s="17" t="s">
        <v>36</v>
      </c>
      <c r="J19" s="18">
        <v>300</v>
      </c>
      <c r="K19" s="16" t="s">
        <v>40</v>
      </c>
      <c r="L19" s="23" t="s">
        <v>10</v>
      </c>
      <c r="M19" s="27"/>
      <c r="O19" s="28" t="s">
        <v>41</v>
      </c>
      <c r="P19" s="29" t="s">
        <v>4</v>
      </c>
      <c r="Q19" s="31" t="s">
        <v>5</v>
      </c>
    </row>
    <row r="20" ht="24.95" customHeight="1" spans="2:17">
      <c r="B20" s="17">
        <v>44547</v>
      </c>
      <c r="C20" s="17" t="s">
        <v>34</v>
      </c>
      <c r="D20" s="18">
        <v>400</v>
      </c>
      <c r="E20" s="18" t="s">
        <v>35</v>
      </c>
      <c r="F20" s="23" t="s">
        <v>12</v>
      </c>
      <c r="G20" s="24"/>
      <c r="H20" s="22">
        <v>44543</v>
      </c>
      <c r="I20" s="17" t="s">
        <v>36</v>
      </c>
      <c r="J20" s="18">
        <v>600</v>
      </c>
      <c r="K20" s="18" t="s">
        <v>35</v>
      </c>
      <c r="L20" s="23" t="s">
        <v>12</v>
      </c>
      <c r="M20" s="27"/>
      <c r="O20" s="20" t="s">
        <v>6</v>
      </c>
      <c r="P20" s="18">
        <f ca="1" t="shared" ref="P20:P25" si="0">SUMIF($F$5:$F$20000,O20,$D$5:$D$2000)</f>
        <v>1700</v>
      </c>
      <c r="Q20" s="18">
        <f ca="1" t="shared" ref="Q20:Q25" si="1">SUMIF($L$5:$L$20000,O20,$J$5:$J$2000)</f>
        <v>1000</v>
      </c>
    </row>
    <row r="21" ht="24.95" customHeight="1" spans="2:17">
      <c r="B21" s="17">
        <v>44256</v>
      </c>
      <c r="C21" s="17" t="s">
        <v>34</v>
      </c>
      <c r="D21" s="18">
        <v>200</v>
      </c>
      <c r="E21" s="16" t="s">
        <v>39</v>
      </c>
      <c r="F21" s="23" t="s">
        <v>10</v>
      </c>
      <c r="G21" s="24"/>
      <c r="H21" s="22">
        <v>44256</v>
      </c>
      <c r="I21" s="17" t="s">
        <v>36</v>
      </c>
      <c r="J21" s="18">
        <v>100</v>
      </c>
      <c r="K21" s="16" t="s">
        <v>40</v>
      </c>
      <c r="L21" s="23" t="s">
        <v>12</v>
      </c>
      <c r="M21" s="30"/>
      <c r="O21" s="23" t="s">
        <v>8</v>
      </c>
      <c r="P21" s="18">
        <f ca="1" t="shared" si="0"/>
        <v>800</v>
      </c>
      <c r="Q21" s="18">
        <f ca="1" t="shared" si="1"/>
        <v>1100</v>
      </c>
    </row>
    <row r="22" ht="24.95" customHeight="1" spans="2:17">
      <c r="B22" s="17">
        <v>44257</v>
      </c>
      <c r="C22" s="17" t="s">
        <v>34</v>
      </c>
      <c r="D22" s="18">
        <v>200</v>
      </c>
      <c r="E22" s="16" t="s">
        <v>40</v>
      </c>
      <c r="F22" s="23" t="s">
        <v>12</v>
      </c>
      <c r="G22" s="24"/>
      <c r="H22" s="22">
        <v>44257</v>
      </c>
      <c r="I22" s="17" t="s">
        <v>36</v>
      </c>
      <c r="J22" s="18">
        <v>100</v>
      </c>
      <c r="K22" s="16" t="s">
        <v>35</v>
      </c>
      <c r="L22" s="23" t="s">
        <v>14</v>
      </c>
      <c r="M22" s="30"/>
      <c r="O22" s="23" t="s">
        <v>10</v>
      </c>
      <c r="P22" s="18">
        <f ca="1" t="shared" si="0"/>
        <v>2300</v>
      </c>
      <c r="Q22" s="18">
        <f ca="1" t="shared" si="1"/>
        <v>700</v>
      </c>
    </row>
    <row r="23" ht="24.95" customHeight="1" spans="2:17">
      <c r="B23" s="17">
        <v>44258</v>
      </c>
      <c r="C23" s="17" t="s">
        <v>34</v>
      </c>
      <c r="D23" s="18">
        <v>400</v>
      </c>
      <c r="E23" s="16" t="s">
        <v>35</v>
      </c>
      <c r="F23" s="23" t="s">
        <v>14</v>
      </c>
      <c r="G23" s="24"/>
      <c r="H23" s="22">
        <v>44258</v>
      </c>
      <c r="I23" s="17" t="s">
        <v>36</v>
      </c>
      <c r="J23" s="18">
        <v>100</v>
      </c>
      <c r="K23" s="16" t="s">
        <v>37</v>
      </c>
      <c r="L23" s="23" t="s">
        <v>16</v>
      </c>
      <c r="M23" s="30"/>
      <c r="O23" s="23" t="s">
        <v>12</v>
      </c>
      <c r="P23" s="18">
        <f ca="1" t="shared" si="0"/>
        <v>1900</v>
      </c>
      <c r="Q23" s="18">
        <f ca="1" t="shared" si="1"/>
        <v>1500</v>
      </c>
    </row>
    <row r="24" ht="24.95" customHeight="1" spans="2:17">
      <c r="B24" s="17">
        <v>44259</v>
      </c>
      <c r="C24" s="17" t="s">
        <v>34</v>
      </c>
      <c r="D24" s="18">
        <v>200</v>
      </c>
      <c r="E24" s="16" t="s">
        <v>37</v>
      </c>
      <c r="F24" s="23" t="s">
        <v>16</v>
      </c>
      <c r="G24" s="24"/>
      <c r="H24" s="22">
        <v>44259</v>
      </c>
      <c r="I24" s="17" t="s">
        <v>36</v>
      </c>
      <c r="J24" s="18">
        <v>100</v>
      </c>
      <c r="K24" s="16" t="s">
        <v>38</v>
      </c>
      <c r="L24" s="20" t="s">
        <v>6</v>
      </c>
      <c r="M24" s="30"/>
      <c r="O24" s="23" t="s">
        <v>14</v>
      </c>
      <c r="P24" s="18">
        <f ca="1" t="shared" si="0"/>
        <v>1500</v>
      </c>
      <c r="Q24" s="18">
        <f ca="1" t="shared" si="1"/>
        <v>700</v>
      </c>
    </row>
    <row r="25" ht="24.95" customHeight="1" spans="2:17">
      <c r="B25" s="17">
        <v>44260</v>
      </c>
      <c r="C25" s="17" t="s">
        <v>34</v>
      </c>
      <c r="D25" s="18">
        <v>200</v>
      </c>
      <c r="E25" s="16" t="s">
        <v>38</v>
      </c>
      <c r="F25" s="20" t="s">
        <v>6</v>
      </c>
      <c r="G25" s="24"/>
      <c r="H25" s="22">
        <v>44260</v>
      </c>
      <c r="I25" s="17" t="s">
        <v>36</v>
      </c>
      <c r="J25" s="18">
        <v>100</v>
      </c>
      <c r="K25" s="16" t="s">
        <v>39</v>
      </c>
      <c r="L25" s="23" t="s">
        <v>8</v>
      </c>
      <c r="M25" s="30"/>
      <c r="O25" s="23" t="s">
        <v>16</v>
      </c>
      <c r="P25" s="18">
        <f ca="1" t="shared" si="0"/>
        <v>1100</v>
      </c>
      <c r="Q25" s="18">
        <f ca="1" t="shared" si="1"/>
        <v>500</v>
      </c>
    </row>
    <row r="26" ht="24.95" customHeight="1" spans="2:17">
      <c r="B26" s="17">
        <v>44261</v>
      </c>
      <c r="C26" s="17" t="s">
        <v>34</v>
      </c>
      <c r="D26" s="18">
        <v>200</v>
      </c>
      <c r="E26" s="16" t="s">
        <v>39</v>
      </c>
      <c r="F26" s="23" t="s">
        <v>8</v>
      </c>
      <c r="G26" s="24"/>
      <c r="H26" s="22">
        <v>44261</v>
      </c>
      <c r="I26" s="17" t="s">
        <v>36</v>
      </c>
      <c r="J26" s="18">
        <v>100</v>
      </c>
      <c r="K26" s="16" t="s">
        <v>40</v>
      </c>
      <c r="L26" s="23" t="s">
        <v>10</v>
      </c>
      <c r="M26" s="30"/>
      <c r="O26" s="23" t="s">
        <v>20</v>
      </c>
      <c r="P26" s="18">
        <f ca="1">SUM(P20:P25)</f>
        <v>9300</v>
      </c>
      <c r="Q26" s="18">
        <f ca="1">SUM(Q20:Q25)</f>
        <v>5500</v>
      </c>
    </row>
    <row r="27" ht="24.95" customHeight="1" spans="2:13">
      <c r="B27" s="17">
        <v>44262</v>
      </c>
      <c r="C27" s="17" t="s">
        <v>34</v>
      </c>
      <c r="D27" s="18">
        <v>600</v>
      </c>
      <c r="E27" s="16" t="s">
        <v>40</v>
      </c>
      <c r="F27" s="23" t="s">
        <v>10</v>
      </c>
      <c r="G27" s="24"/>
      <c r="H27" s="22">
        <v>44262</v>
      </c>
      <c r="I27" s="17" t="s">
        <v>36</v>
      </c>
      <c r="J27" s="18">
        <v>100</v>
      </c>
      <c r="K27" s="18" t="s">
        <v>35</v>
      </c>
      <c r="L27" s="23" t="s">
        <v>12</v>
      </c>
      <c r="M27" s="30"/>
    </row>
    <row r="28" ht="24.95" customHeight="1" spans="2:13">
      <c r="B28" s="17">
        <v>44263</v>
      </c>
      <c r="C28" s="17" t="s">
        <v>34</v>
      </c>
      <c r="D28" s="18">
        <v>200</v>
      </c>
      <c r="E28" s="16" t="s">
        <v>35</v>
      </c>
      <c r="F28" s="23" t="s">
        <v>12</v>
      </c>
      <c r="G28" s="24"/>
      <c r="H28" s="22">
        <v>44263</v>
      </c>
      <c r="I28" s="17" t="s">
        <v>36</v>
      </c>
      <c r="J28" s="18">
        <v>100</v>
      </c>
      <c r="K28" s="16" t="s">
        <v>37</v>
      </c>
      <c r="L28" s="20" t="s">
        <v>6</v>
      </c>
      <c r="M28" s="30"/>
    </row>
    <row r="29" ht="24.95" customHeight="1" spans="2:13">
      <c r="B29" s="17">
        <v>44264</v>
      </c>
      <c r="C29" s="17" t="s">
        <v>34</v>
      </c>
      <c r="D29" s="18">
        <v>200</v>
      </c>
      <c r="E29" s="16" t="s">
        <v>37</v>
      </c>
      <c r="F29" s="23" t="s">
        <v>10</v>
      </c>
      <c r="G29" s="24"/>
      <c r="H29" s="22">
        <v>44264</v>
      </c>
      <c r="I29" s="17" t="s">
        <v>36</v>
      </c>
      <c r="J29" s="18">
        <v>100</v>
      </c>
      <c r="K29" s="16" t="s">
        <v>38</v>
      </c>
      <c r="L29" s="23" t="s">
        <v>8</v>
      </c>
      <c r="M29" s="30"/>
    </row>
    <row r="30" ht="24.95" customHeight="1" spans="2:13">
      <c r="B30" s="17">
        <v>44265</v>
      </c>
      <c r="C30" s="17" t="s">
        <v>34</v>
      </c>
      <c r="D30" s="18">
        <v>200</v>
      </c>
      <c r="E30" s="16" t="s">
        <v>38</v>
      </c>
      <c r="F30" s="23" t="s">
        <v>12</v>
      </c>
      <c r="G30" s="24"/>
      <c r="H30" s="22">
        <v>44265</v>
      </c>
      <c r="I30" s="17" t="s">
        <v>36</v>
      </c>
      <c r="J30" s="18">
        <v>100</v>
      </c>
      <c r="K30" s="16" t="s">
        <v>39</v>
      </c>
      <c r="L30" s="23" t="s">
        <v>10</v>
      </c>
      <c r="M30" s="30"/>
    </row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</sheetData>
  <sheetProtection formatCells="0" insertHyperlinks="0" autoFilter="0"/>
  <mergeCells count="1">
    <mergeCell ref="B2:M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/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2" master=""/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2"/>
  <pixelatorList sheetStid="1"/>
  <pixelatorList sheetStid="3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WWO_base_provider_20220117102555-321f3fca00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分類表</vt:lpstr>
      <vt:lpstr>明細表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沒人給我穿襪子</cp:lastModifiedBy>
  <dcterms:created xsi:type="dcterms:W3CDTF">2021-03-24T08:51:00Z</dcterms:created>
  <dcterms:modified xsi:type="dcterms:W3CDTF">2021-03-25T09:33:00Z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56CB110C7A0F48BD8A1548B27C1F25AD</vt:lpwstr>
  </property>
  <property fmtid="{D5CDD505-2E9C-101B-9397-08002B2CF9AE}" pid="3" name="KSOProductBuildVer">
    <vt:lpwstr>2052-0.0.0.0</vt:lpwstr>
  </property>
  <property fmtid="{D5CDD505-2E9C-101B-9397-08002B2CF9AE}" pid="4" name="KSOTemplateUUID">
    <vt:lpwstr>v1.0_mb_RRQpWdvQiGOmlN16iyd4jQ==</vt:lpwstr>
  </property>
</Properties>
</file>